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turk\Downloads\"/>
    </mc:Choice>
  </mc:AlternateContent>
  <bookViews>
    <workbookView xWindow="0" yWindow="0" windowWidth="20490" windowHeight="7020" firstSheet="12" activeTab="12"/>
  </bookViews>
  <sheets>
    <sheet name="FY18 Allocations" sheetId="1" r:id="rId1"/>
    <sheet name="FY18 Average Cost per Client" sheetId="2" r:id="rId2"/>
    <sheet name="Distribution of Cases by Svc" sheetId="3" r:id="rId3"/>
    <sheet name="Base Allocation ROUNDED" sheetId="4" r:id="rId4"/>
    <sheet name="Base Allocation Coin Calculatio" sheetId="5" r:id="rId5"/>
    <sheet name="FY19 Allocation - Flat Combined" sheetId="6" r:id="rId6"/>
    <sheet name="FY19 Allocation - Flat by sourc" sheetId="7" r:id="rId7"/>
    <sheet name="FY19 Allocation - increase" sheetId="8" r:id="rId8"/>
    <sheet name="FY19 Allocation - inc by source" sheetId="9" r:id="rId9"/>
    <sheet name="WAIVER Allocation - Flat Comb" sheetId="10" r:id="rId10"/>
    <sheet name="WAIVER Alloc - Flat by source" sheetId="11" r:id="rId11"/>
    <sheet name="WAIVER Allocation - increase" sheetId="12" r:id="rId12"/>
    <sheet name="WAIVER Alloc - inc by source" sheetId="13" r:id="rId13"/>
  </sheets>
  <calcPr calcId="162913"/>
</workbook>
</file>

<file path=xl/calcChain.xml><?xml version="1.0" encoding="utf-8"?>
<calcChain xmlns="http://schemas.openxmlformats.org/spreadsheetml/2006/main">
  <c r="A46" i="13" l="1"/>
  <c r="E36" i="13"/>
  <c r="H32" i="13"/>
  <c r="H31" i="13"/>
  <c r="E30" i="13"/>
  <c r="C30" i="13"/>
  <c r="A30" i="13"/>
  <c r="E29" i="13"/>
  <c r="H22" i="13"/>
  <c r="H21" i="13"/>
  <c r="H20" i="13"/>
  <c r="H19" i="13"/>
  <c r="H18" i="13"/>
  <c r="H17" i="13"/>
  <c r="H16" i="13"/>
  <c r="I15" i="13"/>
  <c r="H14" i="13"/>
  <c r="H12" i="13"/>
  <c r="H11" i="13"/>
  <c r="H10" i="13"/>
  <c r="H8" i="13"/>
  <c r="H5" i="13"/>
  <c r="P29" i="12"/>
  <c r="N27" i="12"/>
  <c r="O26" i="12"/>
  <c r="O27" i="12" s="1"/>
  <c r="N26" i="12"/>
  <c r="P25" i="12"/>
  <c r="L25" i="12"/>
  <c r="K25" i="12"/>
  <c r="J25" i="12"/>
  <c r="I25" i="12"/>
  <c r="H25" i="12"/>
  <c r="M25" i="12" s="1"/>
  <c r="Q25" i="12" s="1"/>
  <c r="E25" i="13" s="1"/>
  <c r="G25" i="12"/>
  <c r="F25" i="12"/>
  <c r="P24" i="12"/>
  <c r="L24" i="12"/>
  <c r="K24" i="12"/>
  <c r="J24" i="12"/>
  <c r="I24" i="12"/>
  <c r="H24" i="12"/>
  <c r="M24" i="12" s="1"/>
  <c r="Q24" i="12" s="1"/>
  <c r="E24" i="13" s="1"/>
  <c r="G24" i="12"/>
  <c r="F24" i="12"/>
  <c r="P23" i="12"/>
  <c r="L23" i="12"/>
  <c r="K23" i="12"/>
  <c r="J23" i="12"/>
  <c r="I23" i="12"/>
  <c r="H23" i="12"/>
  <c r="M23" i="12" s="1"/>
  <c r="Q23" i="12" s="1"/>
  <c r="E23" i="13" s="1"/>
  <c r="G23" i="12"/>
  <c r="F23" i="12"/>
  <c r="P22" i="12"/>
  <c r="L22" i="12"/>
  <c r="K22" i="12"/>
  <c r="J22" i="12"/>
  <c r="I22" i="12"/>
  <c r="H22" i="12"/>
  <c r="G22" i="12"/>
  <c r="F22" i="12"/>
  <c r="P21" i="12"/>
  <c r="L21" i="12"/>
  <c r="K21" i="12"/>
  <c r="J21" i="12"/>
  <c r="I21" i="12"/>
  <c r="H21" i="12"/>
  <c r="M21" i="12" s="1"/>
  <c r="Q21" i="12" s="1"/>
  <c r="E21" i="13" s="1"/>
  <c r="G21" i="12"/>
  <c r="F21" i="12"/>
  <c r="P20" i="12"/>
  <c r="L20" i="12"/>
  <c r="K20" i="12"/>
  <c r="J20" i="12"/>
  <c r="I20" i="12"/>
  <c r="H20" i="12"/>
  <c r="G20" i="12"/>
  <c r="F20" i="12"/>
  <c r="P19" i="12"/>
  <c r="L19" i="12"/>
  <c r="K19" i="12"/>
  <c r="J19" i="12"/>
  <c r="I19" i="12"/>
  <c r="H19" i="12"/>
  <c r="M19" i="12" s="1"/>
  <c r="Q19" i="12" s="1"/>
  <c r="E19" i="13" s="1"/>
  <c r="G19" i="12"/>
  <c r="F19" i="12"/>
  <c r="P18" i="12"/>
  <c r="L18" i="12"/>
  <c r="K18" i="12"/>
  <c r="J18" i="12"/>
  <c r="I18" i="12"/>
  <c r="H18" i="12"/>
  <c r="M18" i="12" s="1"/>
  <c r="Q18" i="12" s="1"/>
  <c r="E18" i="13" s="1"/>
  <c r="G18" i="12"/>
  <c r="F18" i="12"/>
  <c r="P17" i="12"/>
  <c r="L17" i="12"/>
  <c r="K17" i="12"/>
  <c r="J17" i="12"/>
  <c r="I17" i="12"/>
  <c r="H17" i="12"/>
  <c r="M17" i="12" s="1"/>
  <c r="Q17" i="12" s="1"/>
  <c r="E17" i="13" s="1"/>
  <c r="G17" i="12"/>
  <c r="F17" i="12"/>
  <c r="P16" i="12"/>
  <c r="L16" i="12"/>
  <c r="K16" i="12"/>
  <c r="J16" i="12"/>
  <c r="I16" i="12"/>
  <c r="H16" i="12"/>
  <c r="M16" i="12" s="1"/>
  <c r="Q16" i="12" s="1"/>
  <c r="E16" i="13" s="1"/>
  <c r="G16" i="12"/>
  <c r="F16" i="12"/>
  <c r="P15" i="12"/>
  <c r="L15" i="12"/>
  <c r="K15" i="12"/>
  <c r="J15" i="12"/>
  <c r="I15" i="12"/>
  <c r="H15" i="12"/>
  <c r="P14" i="12"/>
  <c r="L14" i="12"/>
  <c r="K14" i="12"/>
  <c r="J14" i="12"/>
  <c r="I14" i="12"/>
  <c r="H14" i="12"/>
  <c r="M14" i="12" s="1"/>
  <c r="Q14" i="12" s="1"/>
  <c r="E14" i="13" s="1"/>
  <c r="P13" i="12"/>
  <c r="L13" i="12"/>
  <c r="K13" i="12"/>
  <c r="J13" i="12"/>
  <c r="I13" i="12"/>
  <c r="H13" i="12"/>
  <c r="M13" i="12" s="1"/>
  <c r="Q13" i="12" s="1"/>
  <c r="E13" i="13" s="1"/>
  <c r="G13" i="12"/>
  <c r="F13" i="12"/>
  <c r="P12" i="12"/>
  <c r="L12" i="12"/>
  <c r="K12" i="12"/>
  <c r="J12" i="12"/>
  <c r="I12" i="12"/>
  <c r="H12" i="12"/>
  <c r="M12" i="12" s="1"/>
  <c r="Q12" i="12" s="1"/>
  <c r="E12" i="13" s="1"/>
  <c r="G12" i="12"/>
  <c r="F12" i="12"/>
  <c r="P11" i="12"/>
  <c r="L11" i="12"/>
  <c r="K11" i="12"/>
  <c r="J11" i="12"/>
  <c r="I11" i="12"/>
  <c r="H11" i="12"/>
  <c r="G11" i="12"/>
  <c r="F11" i="12"/>
  <c r="P10" i="12"/>
  <c r="L10" i="12"/>
  <c r="K10" i="12"/>
  <c r="J10" i="12"/>
  <c r="I10" i="12"/>
  <c r="H10" i="12"/>
  <c r="M10" i="12" s="1"/>
  <c r="Q10" i="12" s="1"/>
  <c r="E10" i="13" s="1"/>
  <c r="G10" i="12"/>
  <c r="F10" i="12"/>
  <c r="P9" i="12"/>
  <c r="L9" i="12"/>
  <c r="K9" i="12"/>
  <c r="J9" i="12"/>
  <c r="I9" i="12"/>
  <c r="H9" i="12"/>
  <c r="M9" i="12" s="1"/>
  <c r="Q9" i="12" s="1"/>
  <c r="G9" i="12"/>
  <c r="F9" i="12"/>
  <c r="P8" i="12"/>
  <c r="M8" i="12"/>
  <c r="L8" i="12"/>
  <c r="K8" i="12"/>
  <c r="J8" i="12"/>
  <c r="I8" i="12"/>
  <c r="H8" i="12"/>
  <c r="G8" i="12"/>
  <c r="F8" i="12"/>
  <c r="P7" i="12"/>
  <c r="L7" i="12"/>
  <c r="K7" i="12"/>
  <c r="J7" i="12"/>
  <c r="I7" i="12"/>
  <c r="H7" i="12"/>
  <c r="M7" i="12" s="1"/>
  <c r="Q7" i="12" s="1"/>
  <c r="E7" i="13" s="1"/>
  <c r="G7" i="12"/>
  <c r="F7" i="12"/>
  <c r="P6" i="12"/>
  <c r="L6" i="12"/>
  <c r="K6" i="12"/>
  <c r="J6" i="12"/>
  <c r="I6" i="12"/>
  <c r="H6" i="12"/>
  <c r="M6" i="12" s="1"/>
  <c r="Q6" i="12" s="1"/>
  <c r="E6" i="13" s="1"/>
  <c r="G6" i="12"/>
  <c r="F6" i="12"/>
  <c r="P5" i="12"/>
  <c r="P26" i="12" s="1"/>
  <c r="P27" i="12" s="1"/>
  <c r="P31" i="12" s="1"/>
  <c r="L5" i="12"/>
  <c r="K5" i="12"/>
  <c r="J5" i="12"/>
  <c r="I5" i="12"/>
  <c r="H5" i="12"/>
  <c r="F5" i="12"/>
  <c r="F26" i="12" s="1"/>
  <c r="F27" i="12" s="1"/>
  <c r="F31" i="12" s="1"/>
  <c r="E36" i="11"/>
  <c r="H32" i="11"/>
  <c r="H31" i="11"/>
  <c r="E30" i="11"/>
  <c r="C30" i="11"/>
  <c r="A30" i="11"/>
  <c r="E29" i="11"/>
  <c r="H22" i="11"/>
  <c r="H21" i="11"/>
  <c r="H20" i="11"/>
  <c r="H19" i="11"/>
  <c r="H18" i="11"/>
  <c r="H17" i="11"/>
  <c r="E17" i="11"/>
  <c r="I17" i="11" s="1"/>
  <c r="J17" i="11" s="1"/>
  <c r="H16" i="11"/>
  <c r="I15" i="11"/>
  <c r="H14" i="11"/>
  <c r="H12" i="11"/>
  <c r="E12" i="11"/>
  <c r="I12" i="11" s="1"/>
  <c r="J12" i="11" s="1"/>
  <c r="H11" i="11"/>
  <c r="H10" i="11"/>
  <c r="H8" i="11"/>
  <c r="H5" i="11"/>
  <c r="L27" i="10"/>
  <c r="K27" i="10"/>
  <c r="K31" i="10" s="1"/>
  <c r="H27" i="10"/>
  <c r="L26" i="10"/>
  <c r="K26" i="10"/>
  <c r="J26" i="10"/>
  <c r="J27" i="10" s="1"/>
  <c r="J31" i="10" s="1"/>
  <c r="I26" i="10"/>
  <c r="I27" i="10" s="1"/>
  <c r="I31" i="10" s="1"/>
  <c r="H26" i="10"/>
  <c r="M25" i="10"/>
  <c r="E25" i="11" s="1"/>
  <c r="G25" i="10"/>
  <c r="F25" i="10"/>
  <c r="E25" i="10"/>
  <c r="E25" i="12" s="1"/>
  <c r="M24" i="10"/>
  <c r="E24" i="11" s="1"/>
  <c r="G24" i="10"/>
  <c r="F24" i="10"/>
  <c r="M23" i="10"/>
  <c r="E23" i="11" s="1"/>
  <c r="I23" i="11" s="1"/>
  <c r="G23" i="10"/>
  <c r="F23" i="10"/>
  <c r="M22" i="10"/>
  <c r="E22" i="11" s="1"/>
  <c r="G22" i="10"/>
  <c r="F22" i="10"/>
  <c r="M21" i="10"/>
  <c r="E21" i="11" s="1"/>
  <c r="G21" i="10"/>
  <c r="F21" i="10"/>
  <c r="E21" i="10"/>
  <c r="E21" i="12" s="1"/>
  <c r="M20" i="10"/>
  <c r="E20" i="11" s="1"/>
  <c r="I20" i="11" s="1"/>
  <c r="J20" i="11" s="1"/>
  <c r="G20" i="10"/>
  <c r="F20" i="10"/>
  <c r="M19" i="10"/>
  <c r="E19" i="11" s="1"/>
  <c r="G19" i="10"/>
  <c r="F19" i="10"/>
  <c r="M18" i="10"/>
  <c r="E18" i="11" s="1"/>
  <c r="G18" i="10"/>
  <c r="F18" i="10"/>
  <c r="M17" i="10"/>
  <c r="G17" i="10"/>
  <c r="F17" i="10"/>
  <c r="E17" i="10"/>
  <c r="E17" i="12" s="1"/>
  <c r="M16" i="10"/>
  <c r="E16" i="11" s="1"/>
  <c r="I16" i="11" s="1"/>
  <c r="J16" i="11" s="1"/>
  <c r="G16" i="10"/>
  <c r="F16" i="10"/>
  <c r="M15" i="10"/>
  <c r="E15" i="11" s="1"/>
  <c r="M14" i="10"/>
  <c r="E14" i="11" s="1"/>
  <c r="M13" i="10"/>
  <c r="E13" i="11" s="1"/>
  <c r="G13" i="10"/>
  <c r="F13" i="10"/>
  <c r="M12" i="10"/>
  <c r="G12" i="10"/>
  <c r="F12" i="10"/>
  <c r="E12" i="10"/>
  <c r="E12" i="12" s="1"/>
  <c r="M11" i="10"/>
  <c r="E11" i="11" s="1"/>
  <c r="G11" i="10"/>
  <c r="F11" i="10"/>
  <c r="M10" i="10"/>
  <c r="E10" i="11" s="1"/>
  <c r="G10" i="10"/>
  <c r="F10" i="10"/>
  <c r="M9" i="10"/>
  <c r="G9" i="10"/>
  <c r="F9" i="10"/>
  <c r="M8" i="10"/>
  <c r="E71" i="11" s="1"/>
  <c r="G8" i="10"/>
  <c r="F8" i="10"/>
  <c r="E8" i="10"/>
  <c r="E8" i="12" s="1"/>
  <c r="M7" i="10"/>
  <c r="E7" i="11" s="1"/>
  <c r="G7" i="10"/>
  <c r="F7" i="10"/>
  <c r="E7" i="10"/>
  <c r="E7" i="12" s="1"/>
  <c r="M6" i="10"/>
  <c r="E6" i="11" s="1"/>
  <c r="G6" i="10"/>
  <c r="F6" i="10"/>
  <c r="E6" i="10"/>
  <c r="E6" i="12" s="1"/>
  <c r="M5" i="10"/>
  <c r="F5" i="10"/>
  <c r="F26" i="10" s="1"/>
  <c r="F27" i="10" s="1"/>
  <c r="F31" i="10" s="1"/>
  <c r="A46" i="9"/>
  <c r="E36" i="9"/>
  <c r="H32" i="9"/>
  <c r="H31" i="9"/>
  <c r="H33" i="9" s="1"/>
  <c r="E30" i="9"/>
  <c r="C30" i="9"/>
  <c r="A30" i="9"/>
  <c r="E29" i="9"/>
  <c r="H22" i="9"/>
  <c r="H21" i="9"/>
  <c r="H20" i="9"/>
  <c r="H19" i="9"/>
  <c r="H18" i="9"/>
  <c r="H17" i="9"/>
  <c r="H16" i="9"/>
  <c r="I15" i="9"/>
  <c r="H14" i="9"/>
  <c r="H12" i="9"/>
  <c r="H11" i="9"/>
  <c r="H10" i="9"/>
  <c r="H8" i="9"/>
  <c r="H5" i="9"/>
  <c r="P29" i="8"/>
  <c r="O27" i="8"/>
  <c r="O26" i="8"/>
  <c r="N26" i="8"/>
  <c r="N27" i="8" s="1"/>
  <c r="P25" i="8"/>
  <c r="L25" i="8"/>
  <c r="M25" i="8" s="1"/>
  <c r="Q25" i="8" s="1"/>
  <c r="E25" i="9" s="1"/>
  <c r="K25" i="8"/>
  <c r="J25" i="8"/>
  <c r="I25" i="8"/>
  <c r="H25" i="8"/>
  <c r="G25" i="8"/>
  <c r="F25" i="8"/>
  <c r="P24" i="8"/>
  <c r="L24" i="8"/>
  <c r="M24" i="8" s="1"/>
  <c r="Q24" i="8" s="1"/>
  <c r="E24" i="9" s="1"/>
  <c r="K24" i="8"/>
  <c r="J24" i="8"/>
  <c r="I24" i="8"/>
  <c r="H24" i="8"/>
  <c r="G24" i="8"/>
  <c r="F24" i="8"/>
  <c r="P23" i="8"/>
  <c r="L23" i="8"/>
  <c r="K23" i="8"/>
  <c r="J23" i="8"/>
  <c r="I23" i="8"/>
  <c r="H23" i="8"/>
  <c r="G23" i="8"/>
  <c r="F23" i="8"/>
  <c r="P22" i="8"/>
  <c r="M22" i="8"/>
  <c r="Q22" i="8" s="1"/>
  <c r="E22" i="9" s="1"/>
  <c r="I22" i="9" s="1"/>
  <c r="J22" i="9" s="1"/>
  <c r="L22" i="8"/>
  <c r="K22" i="8"/>
  <c r="J22" i="8"/>
  <c r="I22" i="8"/>
  <c r="H22" i="8"/>
  <c r="G22" i="8"/>
  <c r="F22" i="8"/>
  <c r="P21" i="8"/>
  <c r="M21" i="8"/>
  <c r="L21" i="8"/>
  <c r="K21" i="8"/>
  <c r="J21" i="8"/>
  <c r="I21" i="8"/>
  <c r="H21" i="8"/>
  <c r="G21" i="8"/>
  <c r="F21" i="8"/>
  <c r="E21" i="8"/>
  <c r="P20" i="8"/>
  <c r="L20" i="8"/>
  <c r="K20" i="8"/>
  <c r="J20" i="8"/>
  <c r="I20" i="8"/>
  <c r="H20" i="8"/>
  <c r="M20" i="8" s="1"/>
  <c r="Q20" i="8" s="1"/>
  <c r="E20" i="9" s="1"/>
  <c r="I20" i="9" s="1"/>
  <c r="J20" i="9" s="1"/>
  <c r="G20" i="8"/>
  <c r="F20" i="8"/>
  <c r="P19" i="8"/>
  <c r="L19" i="8"/>
  <c r="K19" i="8"/>
  <c r="J19" i="8"/>
  <c r="I19" i="8"/>
  <c r="H19" i="8"/>
  <c r="M19" i="8" s="1"/>
  <c r="Q19" i="8" s="1"/>
  <c r="E19" i="9" s="1"/>
  <c r="G19" i="8"/>
  <c r="F19" i="8"/>
  <c r="P18" i="8"/>
  <c r="L18" i="8"/>
  <c r="K18" i="8"/>
  <c r="J18" i="8"/>
  <c r="I18" i="8"/>
  <c r="H18" i="8"/>
  <c r="G18" i="8"/>
  <c r="F18" i="8"/>
  <c r="P17" i="8"/>
  <c r="L17" i="8"/>
  <c r="K17" i="8"/>
  <c r="J17" i="8"/>
  <c r="I17" i="8"/>
  <c r="H17" i="8"/>
  <c r="G17" i="8"/>
  <c r="F17" i="8"/>
  <c r="P16" i="8"/>
  <c r="L16" i="8"/>
  <c r="K16" i="8"/>
  <c r="J16" i="8"/>
  <c r="I16" i="8"/>
  <c r="H16" i="8"/>
  <c r="M16" i="8" s="1"/>
  <c r="Q16" i="8" s="1"/>
  <c r="E16" i="9" s="1"/>
  <c r="G16" i="8"/>
  <c r="F16" i="8"/>
  <c r="P15" i="8"/>
  <c r="L15" i="8"/>
  <c r="K15" i="8"/>
  <c r="J15" i="8"/>
  <c r="I15" i="8"/>
  <c r="H15" i="8"/>
  <c r="P14" i="8"/>
  <c r="L14" i="8"/>
  <c r="K14" i="8"/>
  <c r="J14" i="8"/>
  <c r="I14" i="8"/>
  <c r="H14" i="8"/>
  <c r="P13" i="8"/>
  <c r="M13" i="8"/>
  <c r="Q13" i="8" s="1"/>
  <c r="E13" i="9" s="1"/>
  <c r="L13" i="8"/>
  <c r="K13" i="8"/>
  <c r="J13" i="8"/>
  <c r="I13" i="8"/>
  <c r="H13" i="8"/>
  <c r="G13" i="8"/>
  <c r="F13" i="8"/>
  <c r="P12" i="8"/>
  <c r="M12" i="8"/>
  <c r="L12" i="8"/>
  <c r="K12" i="8"/>
  <c r="J12" i="8"/>
  <c r="I12" i="8"/>
  <c r="H12" i="8"/>
  <c r="G12" i="8"/>
  <c r="F12" i="8"/>
  <c r="P11" i="8"/>
  <c r="L11" i="8"/>
  <c r="K11" i="8"/>
  <c r="J11" i="8"/>
  <c r="I11" i="8"/>
  <c r="H11" i="8"/>
  <c r="M11" i="8" s="1"/>
  <c r="G11" i="8"/>
  <c r="F11" i="8"/>
  <c r="P10" i="8"/>
  <c r="L10" i="8"/>
  <c r="K10" i="8"/>
  <c r="J10" i="8"/>
  <c r="I10" i="8"/>
  <c r="H10" i="8"/>
  <c r="M10" i="8" s="1"/>
  <c r="G10" i="8"/>
  <c r="F10" i="8"/>
  <c r="P9" i="8"/>
  <c r="L9" i="8"/>
  <c r="K9" i="8"/>
  <c r="J9" i="8"/>
  <c r="I9" i="8"/>
  <c r="H9" i="8"/>
  <c r="G9" i="8"/>
  <c r="F9" i="8"/>
  <c r="P8" i="8"/>
  <c r="L8" i="8"/>
  <c r="K8" i="8"/>
  <c r="J8" i="8"/>
  <c r="I8" i="8"/>
  <c r="H8" i="8"/>
  <c r="G8" i="8"/>
  <c r="F8" i="8"/>
  <c r="P7" i="8"/>
  <c r="L7" i="8"/>
  <c r="K7" i="8"/>
  <c r="J7" i="8"/>
  <c r="I7" i="8"/>
  <c r="H7" i="8"/>
  <c r="M7" i="8" s="1"/>
  <c r="G7" i="8"/>
  <c r="F7" i="8"/>
  <c r="P6" i="8"/>
  <c r="L6" i="8"/>
  <c r="K6" i="8"/>
  <c r="J6" i="8"/>
  <c r="I6" i="8"/>
  <c r="H6" i="8"/>
  <c r="G6" i="8"/>
  <c r="F6" i="8"/>
  <c r="P5" i="8"/>
  <c r="L5" i="8"/>
  <c r="K5" i="8"/>
  <c r="K26" i="8" s="1"/>
  <c r="K27" i="8" s="1"/>
  <c r="K31" i="8" s="1"/>
  <c r="J5" i="8"/>
  <c r="I5" i="8"/>
  <c r="H5" i="8"/>
  <c r="M5" i="8" s="1"/>
  <c r="F5" i="8"/>
  <c r="F26" i="8" s="1"/>
  <c r="F27" i="8" s="1"/>
  <c r="F31" i="8" s="1"/>
  <c r="E36" i="7"/>
  <c r="H32" i="7"/>
  <c r="H31" i="7"/>
  <c r="E30" i="7"/>
  <c r="C30" i="7"/>
  <c r="A30" i="7"/>
  <c r="E29" i="7"/>
  <c r="E25" i="7"/>
  <c r="H22" i="7"/>
  <c r="H21" i="7"/>
  <c r="H20" i="7"/>
  <c r="H19" i="7"/>
  <c r="H18" i="7"/>
  <c r="H17" i="7"/>
  <c r="E17" i="7"/>
  <c r="H16" i="7"/>
  <c r="I15" i="7"/>
  <c r="H14" i="7"/>
  <c r="H12" i="7"/>
  <c r="H11" i="7"/>
  <c r="H10" i="7"/>
  <c r="H8" i="7"/>
  <c r="H5" i="7"/>
  <c r="L26" i="6"/>
  <c r="L27" i="6" s="1"/>
  <c r="K26" i="6"/>
  <c r="K27" i="6" s="1"/>
  <c r="K31" i="6" s="1"/>
  <c r="J26" i="6"/>
  <c r="J27" i="6" s="1"/>
  <c r="J31" i="6" s="1"/>
  <c r="I26" i="6"/>
  <c r="I27" i="6" s="1"/>
  <c r="I31" i="6" s="1"/>
  <c r="H26" i="6"/>
  <c r="H27" i="6" s="1"/>
  <c r="M25" i="6"/>
  <c r="G25" i="6"/>
  <c r="F25" i="6"/>
  <c r="E25" i="6"/>
  <c r="E25" i="8" s="1"/>
  <c r="M24" i="6"/>
  <c r="E24" i="7" s="1"/>
  <c r="I24" i="7" s="1"/>
  <c r="G24" i="6"/>
  <c r="F24" i="6"/>
  <c r="M23" i="6"/>
  <c r="E23" i="7" s="1"/>
  <c r="I23" i="7" s="1"/>
  <c r="G23" i="6"/>
  <c r="F23" i="6"/>
  <c r="M22" i="6"/>
  <c r="E22" i="7" s="1"/>
  <c r="G22" i="6"/>
  <c r="F22" i="6"/>
  <c r="M21" i="6"/>
  <c r="E21" i="7" s="1"/>
  <c r="G21" i="6"/>
  <c r="F21" i="6"/>
  <c r="E21" i="6"/>
  <c r="M20" i="6"/>
  <c r="E20" i="7" s="1"/>
  <c r="G20" i="6"/>
  <c r="F20" i="6"/>
  <c r="M19" i="6"/>
  <c r="E19" i="7" s="1"/>
  <c r="G19" i="6"/>
  <c r="F19" i="6"/>
  <c r="M18" i="6"/>
  <c r="E18" i="7" s="1"/>
  <c r="G18" i="6"/>
  <c r="F18" i="6"/>
  <c r="M17" i="6"/>
  <c r="G17" i="6"/>
  <c r="F17" i="6"/>
  <c r="E17" i="6"/>
  <c r="E17" i="8" s="1"/>
  <c r="M16" i="6"/>
  <c r="E16" i="7" s="1"/>
  <c r="G16" i="6"/>
  <c r="F16" i="6"/>
  <c r="M15" i="6"/>
  <c r="E15" i="7" s="1"/>
  <c r="M14" i="6"/>
  <c r="E14" i="7" s="1"/>
  <c r="M13" i="6"/>
  <c r="E13" i="7" s="1"/>
  <c r="G13" i="6"/>
  <c r="F13" i="6"/>
  <c r="M12" i="6"/>
  <c r="E12" i="7" s="1"/>
  <c r="G12" i="6"/>
  <c r="F12" i="6"/>
  <c r="E12" i="6"/>
  <c r="E12" i="8" s="1"/>
  <c r="M11" i="6"/>
  <c r="E11" i="7" s="1"/>
  <c r="G11" i="6"/>
  <c r="F11" i="6"/>
  <c r="M10" i="6"/>
  <c r="E10" i="7" s="1"/>
  <c r="I10" i="7" s="1"/>
  <c r="J10" i="7" s="1"/>
  <c r="G10" i="6"/>
  <c r="F10" i="6"/>
  <c r="M9" i="6"/>
  <c r="G9" i="6"/>
  <c r="F9" i="6"/>
  <c r="M8" i="6"/>
  <c r="E71" i="7" s="1"/>
  <c r="G8" i="6"/>
  <c r="F8" i="6"/>
  <c r="E8" i="6"/>
  <c r="E8" i="8" s="1"/>
  <c r="M7" i="6"/>
  <c r="E7" i="7" s="1"/>
  <c r="I7" i="7" s="1"/>
  <c r="G7" i="6"/>
  <c r="F7" i="6"/>
  <c r="E7" i="6"/>
  <c r="E7" i="8" s="1"/>
  <c r="M6" i="6"/>
  <c r="E6" i="7" s="1"/>
  <c r="G6" i="6"/>
  <c r="F6" i="6"/>
  <c r="E6" i="6"/>
  <c r="E6" i="8" s="1"/>
  <c r="M5" i="6"/>
  <c r="F5" i="6"/>
  <c r="F26" i="6" s="1"/>
  <c r="F27" i="6" s="1"/>
  <c r="F31" i="6" s="1"/>
  <c r="O33" i="5"/>
  <c r="O32" i="5"/>
  <c r="O31" i="5"/>
  <c r="F31" i="5"/>
  <c r="E31" i="5"/>
  <c r="O30" i="5"/>
  <c r="O29" i="5"/>
  <c r="O28" i="5"/>
  <c r="O27" i="5"/>
  <c r="I26" i="5"/>
  <c r="H26" i="5"/>
  <c r="M25" i="5"/>
  <c r="M26" i="5" s="1"/>
  <c r="L25" i="5"/>
  <c r="L26" i="5" s="1"/>
  <c r="K25" i="5"/>
  <c r="K26" i="5" s="1"/>
  <c r="J25" i="5"/>
  <c r="J26" i="5" s="1"/>
  <c r="I25" i="5"/>
  <c r="H25" i="5"/>
  <c r="D18" i="5"/>
  <c r="G18" i="5" s="1"/>
  <c r="D16" i="5"/>
  <c r="F16" i="5" s="1"/>
  <c r="D13" i="5"/>
  <c r="E13" i="5" s="1"/>
  <c r="D9" i="5"/>
  <c r="D4" i="5"/>
  <c r="E4" i="5" s="1"/>
  <c r="P31" i="4"/>
  <c r="M26" i="4"/>
  <c r="L24" i="4"/>
  <c r="D24" i="5" s="1"/>
  <c r="F24" i="5" s="1"/>
  <c r="G24" i="4"/>
  <c r="D24" i="4"/>
  <c r="L23" i="4"/>
  <c r="D23" i="5" s="1"/>
  <c r="D23" i="4"/>
  <c r="L22" i="4"/>
  <c r="D22" i="5" s="1"/>
  <c r="E22" i="5" s="1"/>
  <c r="D22" i="4"/>
  <c r="P21" i="4"/>
  <c r="L21" i="4"/>
  <c r="D21" i="5" s="1"/>
  <c r="D21" i="4"/>
  <c r="P20" i="4"/>
  <c r="L20" i="4"/>
  <c r="D20" i="5" s="1"/>
  <c r="F20" i="5" s="1"/>
  <c r="G20" i="4"/>
  <c r="D20" i="4"/>
  <c r="P19" i="4"/>
  <c r="L19" i="4"/>
  <c r="D19" i="5" s="1"/>
  <c r="D19" i="4"/>
  <c r="P18" i="4"/>
  <c r="L18" i="4"/>
  <c r="D18" i="4"/>
  <c r="P17" i="4"/>
  <c r="L17" i="4"/>
  <c r="D17" i="5" s="1"/>
  <c r="D17" i="4"/>
  <c r="P16" i="4"/>
  <c r="L16" i="4"/>
  <c r="G16" i="4"/>
  <c r="D16" i="4"/>
  <c r="P15" i="4"/>
  <c r="L15" i="4"/>
  <c r="D15" i="5" s="1"/>
  <c r="G15" i="5" s="1"/>
  <c r="D15" i="4"/>
  <c r="Q14" i="4"/>
  <c r="L14" i="4"/>
  <c r="D14" i="5" s="1"/>
  <c r="G14" i="5" s="1"/>
  <c r="D14" i="4"/>
  <c r="P13" i="4"/>
  <c r="L13" i="4"/>
  <c r="D13" i="4"/>
  <c r="L12" i="4"/>
  <c r="D12" i="5" s="1"/>
  <c r="D12" i="4"/>
  <c r="P11" i="4"/>
  <c r="L11" i="4"/>
  <c r="D11" i="5" s="1"/>
  <c r="G11" i="4"/>
  <c r="D11" i="4"/>
  <c r="F11" i="4" s="1"/>
  <c r="H11" i="4" s="1"/>
  <c r="P10" i="4"/>
  <c r="L10" i="4"/>
  <c r="D10" i="5" s="1"/>
  <c r="E10" i="5" s="1"/>
  <c r="D10" i="4"/>
  <c r="L9" i="4"/>
  <c r="E9" i="4"/>
  <c r="D9" i="4"/>
  <c r="L8" i="4"/>
  <c r="D8" i="5" s="1"/>
  <c r="E8" i="5" s="1"/>
  <c r="D8" i="4"/>
  <c r="P7" i="4"/>
  <c r="L7" i="4"/>
  <c r="D7" i="5" s="1"/>
  <c r="G7" i="4"/>
  <c r="D7" i="4"/>
  <c r="L6" i="4"/>
  <c r="G6" i="4"/>
  <c r="D6" i="4"/>
  <c r="L5" i="4"/>
  <c r="D5" i="5" s="1"/>
  <c r="G5" i="4"/>
  <c r="E5" i="4"/>
  <c r="F5" i="4" s="1"/>
  <c r="H5" i="4" s="1"/>
  <c r="D5" i="4"/>
  <c r="P4" i="4"/>
  <c r="L4" i="4"/>
  <c r="D4" i="4"/>
  <c r="J31" i="4" s="1"/>
  <c r="D25" i="3"/>
  <c r="E25" i="3" s="1"/>
  <c r="E24" i="4" s="1"/>
  <c r="D24" i="3"/>
  <c r="E24" i="3" s="1"/>
  <c r="E23" i="4" s="1"/>
  <c r="D23" i="3"/>
  <c r="E23" i="3" s="1"/>
  <c r="E22" i="4" s="1"/>
  <c r="F22" i="4" s="1"/>
  <c r="D22" i="3"/>
  <c r="E22" i="3" s="1"/>
  <c r="E21" i="4" s="1"/>
  <c r="D21" i="3"/>
  <c r="E21" i="3" s="1"/>
  <c r="E20" i="4" s="1"/>
  <c r="D20" i="3"/>
  <c r="E20" i="3" s="1"/>
  <c r="E19" i="4" s="1"/>
  <c r="D19" i="3"/>
  <c r="E19" i="3" s="1"/>
  <c r="E18" i="4" s="1"/>
  <c r="D18" i="3"/>
  <c r="E18" i="3" s="1"/>
  <c r="E17" i="4" s="1"/>
  <c r="D17" i="3"/>
  <c r="E17" i="3" s="1"/>
  <c r="E16" i="4" s="1"/>
  <c r="F16" i="4" s="1"/>
  <c r="H16" i="4" s="1"/>
  <c r="D16" i="3"/>
  <c r="E16" i="3" s="1"/>
  <c r="E15" i="4" s="1"/>
  <c r="D15" i="3"/>
  <c r="E15" i="3" s="1"/>
  <c r="E14" i="4" s="1"/>
  <c r="F14" i="4" s="1"/>
  <c r="D14" i="3"/>
  <c r="E14" i="3" s="1"/>
  <c r="E13" i="4" s="1"/>
  <c r="D13" i="3"/>
  <c r="E13" i="3" s="1"/>
  <c r="E12" i="4" s="1"/>
  <c r="D12" i="3"/>
  <c r="E12" i="3" s="1"/>
  <c r="E11" i="4" s="1"/>
  <c r="D11" i="3"/>
  <c r="E11" i="3" s="1"/>
  <c r="E10" i="4" s="1"/>
  <c r="D10" i="3"/>
  <c r="E10" i="3" s="1"/>
  <c r="C9" i="3"/>
  <c r="D9" i="3" s="1"/>
  <c r="E9" i="3" s="1"/>
  <c r="E8" i="4" s="1"/>
  <c r="D8" i="3"/>
  <c r="E8" i="3" s="1"/>
  <c r="E7" i="4" s="1"/>
  <c r="D7" i="3"/>
  <c r="E7" i="3" s="1"/>
  <c r="E6" i="4" s="1"/>
  <c r="D6" i="3"/>
  <c r="E6" i="3" s="1"/>
  <c r="C5" i="3"/>
  <c r="D5" i="3" s="1"/>
  <c r="E5" i="3" s="1"/>
  <c r="E4" i="4" s="1"/>
  <c r="F4" i="4" s="1"/>
  <c r="C24" i="2"/>
  <c r="E24" i="10" s="1"/>
  <c r="E24" i="12" s="1"/>
  <c r="C23" i="2"/>
  <c r="E23" i="2" s="1"/>
  <c r="H23" i="2" s="1"/>
  <c r="C22" i="2"/>
  <c r="H21" i="2"/>
  <c r="I21" i="2" s="1"/>
  <c r="C20" i="2"/>
  <c r="E20" i="6" s="1"/>
  <c r="E20" i="8" s="1"/>
  <c r="C19" i="2"/>
  <c r="E19" i="10" s="1"/>
  <c r="E19" i="12" s="1"/>
  <c r="C18" i="2"/>
  <c r="E18" i="6" s="1"/>
  <c r="E18" i="8" s="1"/>
  <c r="H17" i="2"/>
  <c r="I17" i="2" s="1"/>
  <c r="C16" i="2"/>
  <c r="E16" i="2" s="1"/>
  <c r="G15" i="4" s="1"/>
  <c r="H15" i="2"/>
  <c r="C15" i="2"/>
  <c r="E15" i="10" s="1"/>
  <c r="E15" i="12" s="1"/>
  <c r="C14" i="2"/>
  <c r="E14" i="10" s="1"/>
  <c r="E14" i="12" s="1"/>
  <c r="C13" i="2"/>
  <c r="E13" i="2" s="1"/>
  <c r="G12" i="4" s="1"/>
  <c r="H12" i="2"/>
  <c r="I12" i="2" s="1"/>
  <c r="C11" i="2"/>
  <c r="C10" i="2"/>
  <c r="E10" i="10" s="1"/>
  <c r="E10" i="12" s="1"/>
  <c r="C9" i="2"/>
  <c r="E9" i="2" s="1"/>
  <c r="G8" i="4" s="1"/>
  <c r="H8" i="2"/>
  <c r="I8" i="2" s="1"/>
  <c r="H7" i="2"/>
  <c r="H6" i="2"/>
  <c r="C5" i="2"/>
  <c r="E5" i="2" s="1"/>
  <c r="E38" i="1"/>
  <c r="E33" i="1"/>
  <c r="E52" i="7" s="1"/>
  <c r="H32" i="1"/>
  <c r="F32" i="1"/>
  <c r="H31" i="1"/>
  <c r="E26" i="1"/>
  <c r="F20" i="1" s="1"/>
  <c r="G25" i="1"/>
  <c r="F25" i="1"/>
  <c r="F24" i="1"/>
  <c r="F22" i="1"/>
  <c r="F21" i="1"/>
  <c r="F17" i="1"/>
  <c r="F16" i="1"/>
  <c r="G15" i="1"/>
  <c r="F15" i="1"/>
  <c r="F14" i="1"/>
  <c r="F10" i="1"/>
  <c r="H9" i="1"/>
  <c r="F9" i="1"/>
  <c r="F8" i="1"/>
  <c r="F7" i="1"/>
  <c r="H5" i="1"/>
  <c r="E5" i="7" s="1"/>
  <c r="A5" i="1"/>
  <c r="G4" i="4" l="1"/>
  <c r="H4" i="4" s="1"/>
  <c r="H5" i="2"/>
  <c r="I5" i="2" s="1"/>
  <c r="F13" i="4"/>
  <c r="I26" i="12"/>
  <c r="I27" i="12" s="1"/>
  <c r="I31" i="12" s="1"/>
  <c r="M11" i="12"/>
  <c r="Q11" i="12" s="1"/>
  <c r="E11" i="13" s="1"/>
  <c r="H33" i="13"/>
  <c r="F18" i="4"/>
  <c r="J26" i="8"/>
  <c r="J27" i="8" s="1"/>
  <c r="J31" i="8" s="1"/>
  <c r="M23" i="8"/>
  <c r="Q23" i="8" s="1"/>
  <c r="E23" i="9" s="1"/>
  <c r="J26" i="12"/>
  <c r="J27" i="12" s="1"/>
  <c r="J31" i="12" s="1"/>
  <c r="G26" i="1"/>
  <c r="H26" i="1" s="1"/>
  <c r="F5" i="1"/>
  <c r="F11" i="1"/>
  <c r="F18" i="1"/>
  <c r="E40" i="1"/>
  <c r="E58" i="7" s="1"/>
  <c r="F10" i="5"/>
  <c r="M15" i="8"/>
  <c r="Q15" i="8" s="1"/>
  <c r="E15" i="9" s="1"/>
  <c r="F12" i="1"/>
  <c r="F19" i="1"/>
  <c r="F31" i="1"/>
  <c r="F20" i="4"/>
  <c r="H20" i="4" s="1"/>
  <c r="L27" i="4"/>
  <c r="D25" i="5" s="1"/>
  <c r="G10" i="5"/>
  <c r="N26" i="5"/>
  <c r="E9" i="7"/>
  <c r="H26" i="7"/>
  <c r="E32" i="7"/>
  <c r="M17" i="8"/>
  <c r="Q17" i="8" s="1"/>
  <c r="E17" i="9" s="1"/>
  <c r="M18" i="8"/>
  <c r="Q18" i="8" s="1"/>
  <c r="E18" i="9" s="1"/>
  <c r="E38" i="9" s="1"/>
  <c r="F6" i="1"/>
  <c r="F13" i="1"/>
  <c r="F26" i="1" s="1"/>
  <c r="E20" i="2"/>
  <c r="E24" i="2"/>
  <c r="G23" i="4" s="1"/>
  <c r="P25" i="4"/>
  <c r="H33" i="7"/>
  <c r="M6" i="8"/>
  <c r="Q6" i="8" s="1"/>
  <c r="E6" i="9" s="1"/>
  <c r="I6" i="9" s="1"/>
  <c r="M14" i="8"/>
  <c r="Q14" i="8" s="1"/>
  <c r="E14" i="9" s="1"/>
  <c r="H26" i="11"/>
  <c r="K26" i="12"/>
  <c r="K27" i="12" s="1"/>
  <c r="K31" i="12" s="1"/>
  <c r="F15" i="4"/>
  <c r="Q12" i="8"/>
  <c r="E12" i="9" s="1"/>
  <c r="Q21" i="8"/>
  <c r="E21" i="9" s="1"/>
  <c r="H33" i="11"/>
  <c r="L26" i="12"/>
  <c r="L27" i="12" s="1"/>
  <c r="M15" i="12"/>
  <c r="Q15" i="12" s="1"/>
  <c r="E15" i="13" s="1"/>
  <c r="E18" i="2"/>
  <c r="G17" i="4" s="1"/>
  <c r="Q7" i="8"/>
  <c r="E7" i="9" s="1"/>
  <c r="I7" i="9" s="1"/>
  <c r="Q10" i="8"/>
  <c r="E10" i="9" s="1"/>
  <c r="Q11" i="8"/>
  <c r="E11" i="9" s="1"/>
  <c r="H26" i="9"/>
  <c r="H26" i="13"/>
  <c r="F33" i="1"/>
  <c r="F23" i="4"/>
  <c r="H23" i="4" s="1"/>
  <c r="J23" i="4" s="1"/>
  <c r="E19" i="2"/>
  <c r="E8" i="11"/>
  <c r="I18" i="11"/>
  <c r="J18" i="11" s="1"/>
  <c r="M5" i="12"/>
  <c r="Q8" i="12"/>
  <c r="E8" i="13" s="1"/>
  <c r="M20" i="12"/>
  <c r="Q20" i="12" s="1"/>
  <c r="E20" i="13" s="1"/>
  <c r="M22" i="12"/>
  <c r="Q22" i="12" s="1"/>
  <c r="E22" i="13" s="1"/>
  <c r="J5" i="4"/>
  <c r="Q5" i="4"/>
  <c r="N5" i="4"/>
  <c r="I16" i="9"/>
  <c r="J16" i="9" s="1"/>
  <c r="N16" i="4"/>
  <c r="J16" i="4"/>
  <c r="Q16" i="4"/>
  <c r="R16" i="4" s="1"/>
  <c r="F8" i="4"/>
  <c r="H8" i="4" s="1"/>
  <c r="I14" i="7"/>
  <c r="J14" i="7" s="1"/>
  <c r="N11" i="4"/>
  <c r="J11" i="4"/>
  <c r="Q11" i="4"/>
  <c r="R11" i="4" s="1"/>
  <c r="I22" i="7"/>
  <c r="J22" i="7" s="1"/>
  <c r="I23" i="9"/>
  <c r="I5" i="7"/>
  <c r="J5" i="7" s="1"/>
  <c r="N20" i="4"/>
  <c r="J20" i="4"/>
  <c r="Q20" i="4"/>
  <c r="R20" i="4" s="1"/>
  <c r="R31" i="12"/>
  <c r="F25" i="5"/>
  <c r="E25" i="5"/>
  <c r="R31" i="8"/>
  <c r="H15" i="4"/>
  <c r="F7" i="5"/>
  <c r="E7" i="5"/>
  <c r="E14" i="2"/>
  <c r="G13" i="4" s="1"/>
  <c r="G22" i="5"/>
  <c r="I16" i="7"/>
  <c r="J16" i="7" s="1"/>
  <c r="E38" i="7"/>
  <c r="I19" i="9"/>
  <c r="J19" i="9" s="1"/>
  <c r="F12" i="4"/>
  <c r="H12" i="4" s="1"/>
  <c r="G9" i="5"/>
  <c r="F9" i="5"/>
  <c r="E9" i="5"/>
  <c r="I21" i="9"/>
  <c r="J21" i="9" s="1"/>
  <c r="I12" i="13"/>
  <c r="J12" i="13" s="1"/>
  <c r="E11" i="10"/>
  <c r="E11" i="12" s="1"/>
  <c r="E11" i="6"/>
  <c r="E11" i="8" s="1"/>
  <c r="E22" i="6"/>
  <c r="E22" i="8" s="1"/>
  <c r="E22" i="2"/>
  <c r="E22" i="10"/>
  <c r="E22" i="12" s="1"/>
  <c r="E16" i="5"/>
  <c r="I6" i="13"/>
  <c r="F12" i="5"/>
  <c r="E12" i="5"/>
  <c r="F19" i="4"/>
  <c r="E48" i="13"/>
  <c r="E48" i="11"/>
  <c r="E48" i="7"/>
  <c r="E48" i="9"/>
  <c r="E5" i="10"/>
  <c r="E5" i="6"/>
  <c r="C26" i="2"/>
  <c r="E9" i="10"/>
  <c r="E9" i="12" s="1"/>
  <c r="E9" i="6"/>
  <c r="E9" i="8" s="1"/>
  <c r="H14" i="2"/>
  <c r="I14" i="2" s="1"/>
  <c r="E23" i="10"/>
  <c r="E23" i="12" s="1"/>
  <c r="E23" i="6"/>
  <c r="E23" i="8" s="1"/>
  <c r="F5" i="5"/>
  <c r="E5" i="5"/>
  <c r="F7" i="4"/>
  <c r="H7" i="4" s="1"/>
  <c r="F10" i="4"/>
  <c r="D6" i="5"/>
  <c r="F11" i="5"/>
  <c r="E11" i="5"/>
  <c r="E18" i="5"/>
  <c r="E24" i="5"/>
  <c r="I6" i="7"/>
  <c r="I21" i="7"/>
  <c r="J21" i="7" s="1"/>
  <c r="I17" i="7"/>
  <c r="J17" i="7" s="1"/>
  <c r="G21" i="5"/>
  <c r="F21" i="5"/>
  <c r="E21" i="5"/>
  <c r="F22" i="5"/>
  <c r="I10" i="9"/>
  <c r="J10" i="9" s="1"/>
  <c r="E58" i="9"/>
  <c r="R26" i="8"/>
  <c r="E11" i="2"/>
  <c r="E52" i="11"/>
  <c r="E52" i="13"/>
  <c r="E52" i="9"/>
  <c r="G19" i="5"/>
  <c r="F19" i="5"/>
  <c r="E19" i="5"/>
  <c r="G23" i="5"/>
  <c r="F23" i="5"/>
  <c r="E23" i="5"/>
  <c r="G12" i="5"/>
  <c r="F18" i="5"/>
  <c r="I19" i="7"/>
  <c r="J19" i="7" s="1"/>
  <c r="Q5" i="8"/>
  <c r="I24" i="9"/>
  <c r="I14" i="9"/>
  <c r="J14" i="9" s="1"/>
  <c r="I10" i="11"/>
  <c r="J10" i="11" s="1"/>
  <c r="G4" i="5"/>
  <c r="F4" i="5"/>
  <c r="I11" i="7"/>
  <c r="J11" i="7" s="1"/>
  <c r="I32" i="7"/>
  <c r="J32" i="7" s="1"/>
  <c r="L26" i="8"/>
  <c r="L27" i="8" s="1"/>
  <c r="M8" i="8"/>
  <c r="Q8" i="8" s="1"/>
  <c r="F24" i="4"/>
  <c r="H24" i="4" s="1"/>
  <c r="F8" i="5"/>
  <c r="E20" i="5"/>
  <c r="G5" i="6"/>
  <c r="G26" i="6" s="1"/>
  <c r="G27" i="6" s="1"/>
  <c r="I18" i="7"/>
  <c r="J18" i="7" s="1"/>
  <c r="I17" i="9"/>
  <c r="J17" i="9" s="1"/>
  <c r="I18" i="9"/>
  <c r="J18" i="9" s="1"/>
  <c r="I11" i="9"/>
  <c r="J11" i="9" s="1"/>
  <c r="I14" i="13"/>
  <c r="J14" i="13" s="1"/>
  <c r="H16" i="2"/>
  <c r="I16" i="2" s="1"/>
  <c r="I12" i="7"/>
  <c r="J12" i="7" s="1"/>
  <c r="G5" i="12"/>
  <c r="G26" i="12" s="1"/>
  <c r="G27" i="12" s="1"/>
  <c r="G5" i="10"/>
  <c r="G26" i="10" s="1"/>
  <c r="G27" i="10" s="1"/>
  <c r="G5" i="8"/>
  <c r="G26" i="8" s="1"/>
  <c r="G27" i="8" s="1"/>
  <c r="F17" i="4"/>
  <c r="H17" i="4" s="1"/>
  <c r="G13" i="5"/>
  <c r="F13" i="5"/>
  <c r="E14" i="6"/>
  <c r="E14" i="8" s="1"/>
  <c r="E37" i="1"/>
  <c r="E10" i="2"/>
  <c r="H18" i="2"/>
  <c r="I18" i="2" s="1"/>
  <c r="F6" i="4"/>
  <c r="H6" i="4" s="1"/>
  <c r="G22" i="4"/>
  <c r="H22" i="4" s="1"/>
  <c r="A16" i="1"/>
  <c r="F23" i="1"/>
  <c r="A31" i="1"/>
  <c r="E13" i="10"/>
  <c r="E13" i="12" s="1"/>
  <c r="E13" i="6"/>
  <c r="E13" i="8" s="1"/>
  <c r="E16" i="6"/>
  <c r="E16" i="8" s="1"/>
  <c r="E16" i="10"/>
  <c r="E16" i="12" s="1"/>
  <c r="H13" i="4"/>
  <c r="F9" i="4"/>
  <c r="G17" i="5"/>
  <c r="F17" i="5"/>
  <c r="E17" i="5"/>
  <c r="F21" i="4"/>
  <c r="G8" i="5"/>
  <c r="M26" i="6"/>
  <c r="E67" i="7"/>
  <c r="E31" i="7"/>
  <c r="E10" i="6"/>
  <c r="E10" i="8" s="1"/>
  <c r="I20" i="7"/>
  <c r="J20" i="7" s="1"/>
  <c r="I12" i="9"/>
  <c r="J12" i="9" s="1"/>
  <c r="P26" i="8"/>
  <c r="P27" i="8" s="1"/>
  <c r="P31" i="8" s="1"/>
  <c r="I6" i="11"/>
  <c r="I14" i="11"/>
  <c r="J14" i="11" s="1"/>
  <c r="I17" i="13"/>
  <c r="J17" i="13" s="1"/>
  <c r="E19" i="6"/>
  <c r="E19" i="8" s="1"/>
  <c r="E8" i="7"/>
  <c r="E26" i="7" s="1"/>
  <c r="I26" i="8"/>
  <c r="I27" i="8" s="1"/>
  <c r="I31" i="8" s="1"/>
  <c r="I11" i="11"/>
  <c r="J11" i="11" s="1"/>
  <c r="I21" i="11"/>
  <c r="J21" i="11" s="1"/>
  <c r="M26" i="12"/>
  <c r="M27" i="12" s="1"/>
  <c r="Q5" i="12"/>
  <c r="I8" i="13"/>
  <c r="J8" i="13" s="1"/>
  <c r="I19" i="13"/>
  <c r="J19" i="13" s="1"/>
  <c r="I20" i="13"/>
  <c r="J20" i="13" s="1"/>
  <c r="I22" i="13"/>
  <c r="J22" i="13" s="1"/>
  <c r="E15" i="6"/>
  <c r="E15" i="8" s="1"/>
  <c r="H26" i="8"/>
  <c r="H27" i="8" s="1"/>
  <c r="E20" i="10"/>
  <c r="E20" i="12" s="1"/>
  <c r="I10" i="13"/>
  <c r="J10" i="13" s="1"/>
  <c r="I11" i="13"/>
  <c r="J11" i="13" s="1"/>
  <c r="I24" i="13"/>
  <c r="E9" i="11"/>
  <c r="E32" i="11"/>
  <c r="E18" i="10"/>
  <c r="E18" i="12" s="1"/>
  <c r="I24" i="11"/>
  <c r="I7" i="13"/>
  <c r="I16" i="13"/>
  <c r="J16" i="13" s="1"/>
  <c r="E38" i="13"/>
  <c r="E67" i="11"/>
  <c r="E31" i="11"/>
  <c r="E5" i="11"/>
  <c r="M26" i="10"/>
  <c r="I7" i="11"/>
  <c r="I18" i="13"/>
  <c r="J18" i="13" s="1"/>
  <c r="E15" i="2"/>
  <c r="G14" i="4" s="1"/>
  <c r="H14" i="4" s="1"/>
  <c r="E24" i="6"/>
  <c r="E24" i="8" s="1"/>
  <c r="M9" i="8"/>
  <c r="Q9" i="8" s="1"/>
  <c r="I22" i="11"/>
  <c r="J22" i="11" s="1"/>
  <c r="E71" i="13"/>
  <c r="E9" i="13"/>
  <c r="E32" i="13"/>
  <c r="I21" i="13"/>
  <c r="J21" i="13" s="1"/>
  <c r="I23" i="13"/>
  <c r="I8" i="11"/>
  <c r="J8" i="11" s="1"/>
  <c r="I19" i="11"/>
  <c r="J19" i="11" s="1"/>
  <c r="H26" i="12"/>
  <c r="H27" i="12" s="1"/>
  <c r="E38" i="11"/>
  <c r="N4" i="4" l="1"/>
  <c r="J4" i="4"/>
  <c r="Q4" i="4"/>
  <c r="N31" i="4"/>
  <c r="Q31" i="4" s="1"/>
  <c r="R31" i="4" s="1"/>
  <c r="E31" i="13"/>
  <c r="I31" i="13" s="1"/>
  <c r="J31" i="13" s="1"/>
  <c r="E5" i="13"/>
  <c r="E29" i="8"/>
  <c r="O29" i="8" s="1"/>
  <c r="O31" i="8" s="1"/>
  <c r="F38" i="1"/>
  <c r="G18" i="4"/>
  <c r="H19" i="2"/>
  <c r="I19" i="2" s="1"/>
  <c r="E58" i="13"/>
  <c r="E58" i="11"/>
  <c r="F37" i="1"/>
  <c r="G25" i="5"/>
  <c r="P26" i="5" s="1"/>
  <c r="R26" i="12"/>
  <c r="N23" i="4"/>
  <c r="E29" i="10"/>
  <c r="E31" i="9"/>
  <c r="E5" i="9"/>
  <c r="H18" i="4"/>
  <c r="E29" i="6"/>
  <c r="M29" i="6" s="1"/>
  <c r="E29" i="12"/>
  <c r="H19" i="4"/>
  <c r="N19" i="4" s="1"/>
  <c r="D27" i="5"/>
  <c r="D29" i="5" s="1"/>
  <c r="C31" i="12" s="1"/>
  <c r="G19" i="4"/>
  <c r="H20" i="2"/>
  <c r="I20" i="2" s="1"/>
  <c r="N14" i="4"/>
  <c r="J14" i="4"/>
  <c r="A5" i="10"/>
  <c r="M27" i="10"/>
  <c r="A16" i="10"/>
  <c r="A16" i="6"/>
  <c r="A5" i="6"/>
  <c r="M27" i="6"/>
  <c r="G10" i="4"/>
  <c r="H11" i="2"/>
  <c r="I11" i="2" s="1"/>
  <c r="E5" i="12"/>
  <c r="E26" i="12" s="1"/>
  <c r="E27" i="12" s="1"/>
  <c r="E26" i="10"/>
  <c r="E27" i="10" s="1"/>
  <c r="E31" i="10" s="1"/>
  <c r="E47" i="7"/>
  <c r="E49" i="7" s="1"/>
  <c r="A5" i="7"/>
  <c r="I26" i="7"/>
  <c r="J26" i="7" s="1"/>
  <c r="A16" i="7"/>
  <c r="F11" i="7"/>
  <c r="F20" i="7"/>
  <c r="R4" i="4"/>
  <c r="J8" i="4"/>
  <c r="N8" i="4"/>
  <c r="I32" i="13"/>
  <c r="J32" i="13" s="1"/>
  <c r="E33" i="13"/>
  <c r="F32" i="13" s="1"/>
  <c r="E9" i="9"/>
  <c r="E32" i="9"/>
  <c r="I5" i="11"/>
  <c r="J5" i="11" s="1"/>
  <c r="E66" i="11"/>
  <c r="E68" i="11" s="1"/>
  <c r="E26" i="11"/>
  <c r="G28" i="10"/>
  <c r="G31" i="10"/>
  <c r="F24" i="7"/>
  <c r="Q26" i="8"/>
  <c r="E67" i="9"/>
  <c r="R27" i="8"/>
  <c r="H29" i="6"/>
  <c r="H31" i="6" s="1"/>
  <c r="L29" i="12"/>
  <c r="L31" i="12" s="1"/>
  <c r="H29" i="12"/>
  <c r="H31" i="12" s="1"/>
  <c r="O29" i="12"/>
  <c r="O31" i="12" s="1"/>
  <c r="N29" i="12"/>
  <c r="N31" i="12" s="1"/>
  <c r="M29" i="12"/>
  <c r="M31" i="12" s="1"/>
  <c r="E70" i="13"/>
  <c r="E72" i="13" s="1"/>
  <c r="I31" i="11"/>
  <c r="J31" i="11" s="1"/>
  <c r="E33" i="11"/>
  <c r="F31" i="11" s="1"/>
  <c r="F25" i="7"/>
  <c r="G9" i="4"/>
  <c r="H10" i="2"/>
  <c r="I10" i="2" s="1"/>
  <c r="E8" i="9"/>
  <c r="E71" i="9"/>
  <c r="M26" i="8"/>
  <c r="M27" i="8" s="1"/>
  <c r="D31" i="5"/>
  <c r="F17" i="7"/>
  <c r="G28" i="12"/>
  <c r="G31" i="12"/>
  <c r="F14" i="7"/>
  <c r="F19" i="7"/>
  <c r="Q13" i="4"/>
  <c r="R13" i="4" s="1"/>
  <c r="J12" i="4"/>
  <c r="N12" i="4"/>
  <c r="F15" i="7"/>
  <c r="F13" i="7"/>
  <c r="M29" i="8"/>
  <c r="F21" i="7"/>
  <c r="F18" i="7"/>
  <c r="F9" i="7"/>
  <c r="Q22" i="4"/>
  <c r="N22" i="4"/>
  <c r="J22" i="4"/>
  <c r="M29" i="10"/>
  <c r="L29" i="10"/>
  <c r="L31" i="10" s="1"/>
  <c r="H29" i="10"/>
  <c r="H31" i="10" s="1"/>
  <c r="R27" i="12"/>
  <c r="E67" i="13"/>
  <c r="Q26" i="12"/>
  <c r="G31" i="6"/>
  <c r="G28" i="6"/>
  <c r="F6" i="5"/>
  <c r="E6" i="5"/>
  <c r="I32" i="11"/>
  <c r="J32" i="11" s="1"/>
  <c r="F12" i="7"/>
  <c r="H10" i="4"/>
  <c r="F7" i="7"/>
  <c r="F5" i="7"/>
  <c r="F22" i="7"/>
  <c r="G31" i="8"/>
  <c r="G28" i="8"/>
  <c r="H9" i="4"/>
  <c r="F6" i="7"/>
  <c r="J19" i="4"/>
  <c r="Q6" i="4"/>
  <c r="J6" i="4"/>
  <c r="N6" i="4"/>
  <c r="F9" i="11"/>
  <c r="F10" i="7"/>
  <c r="I31" i="7"/>
  <c r="J31" i="7" s="1"/>
  <c r="E33" i="7"/>
  <c r="E57" i="7" s="1"/>
  <c r="E59" i="7" s="1"/>
  <c r="Q7" i="4"/>
  <c r="R7" i="4" s="1"/>
  <c r="N7" i="4"/>
  <c r="J7" i="4"/>
  <c r="F23" i="7"/>
  <c r="E70" i="11"/>
  <c r="E72" i="11" s="1"/>
  <c r="E70" i="7"/>
  <c r="E72" i="7" s="1"/>
  <c r="I8" i="7"/>
  <c r="J8" i="7" s="1"/>
  <c r="F8" i="7"/>
  <c r="N13" i="4"/>
  <c r="J13" i="4"/>
  <c r="Q17" i="4"/>
  <c r="R17" i="4" s="1"/>
  <c r="N17" i="4"/>
  <c r="J17" i="4"/>
  <c r="J24" i="4"/>
  <c r="N24" i="4"/>
  <c r="E26" i="6"/>
  <c r="E27" i="6" s="1"/>
  <c r="E31" i="6" s="1"/>
  <c r="E5" i="8"/>
  <c r="E26" i="8" s="1"/>
  <c r="E27" i="8" s="1"/>
  <c r="H22" i="2"/>
  <c r="I22" i="2" s="1"/>
  <c r="G21" i="4"/>
  <c r="H21" i="4" s="1"/>
  <c r="F16" i="7"/>
  <c r="Q15" i="4"/>
  <c r="R15" i="4" s="1"/>
  <c r="J15" i="4"/>
  <c r="N15" i="4"/>
  <c r="E66" i="7"/>
  <c r="E68" i="7" s="1"/>
  <c r="H29" i="8" l="1"/>
  <c r="H31" i="8" s="1"/>
  <c r="N29" i="8"/>
  <c r="N31" i="8" s="1"/>
  <c r="Q19" i="4"/>
  <c r="R19" i="4" s="1"/>
  <c r="G29" i="5"/>
  <c r="C31" i="8"/>
  <c r="Q18" i="4"/>
  <c r="R18" i="4" s="1"/>
  <c r="J18" i="4"/>
  <c r="N18" i="4"/>
  <c r="H25" i="4"/>
  <c r="L29" i="8"/>
  <c r="L31" i="8" s="1"/>
  <c r="G27" i="5"/>
  <c r="L29" i="6"/>
  <c r="L31" i="6" s="1"/>
  <c r="M31" i="8"/>
  <c r="A4" i="4"/>
  <c r="A15" i="4"/>
  <c r="G32" i="4"/>
  <c r="I5" i="4"/>
  <c r="I16" i="4"/>
  <c r="I23" i="4"/>
  <c r="I4" i="4"/>
  <c r="I18" i="4"/>
  <c r="I11" i="4"/>
  <c r="I20" i="4"/>
  <c r="I15" i="4"/>
  <c r="I19" i="4"/>
  <c r="I24" i="4"/>
  <c r="I6" i="4"/>
  <c r="I8" i="4"/>
  <c r="I7" i="4"/>
  <c r="I13" i="4"/>
  <c r="I12" i="4"/>
  <c r="I17" i="4"/>
  <c r="I22" i="4"/>
  <c r="I14" i="4"/>
  <c r="I21" i="4"/>
  <c r="Q21" i="4"/>
  <c r="R21" i="4" s="1"/>
  <c r="J21" i="4"/>
  <c r="N21" i="4"/>
  <c r="A16" i="11"/>
  <c r="I26" i="11"/>
  <c r="J26" i="11" s="1"/>
  <c r="E47" i="11"/>
  <c r="E49" i="11" s="1"/>
  <c r="F18" i="11"/>
  <c r="A5" i="11"/>
  <c r="E57" i="11"/>
  <c r="E59" i="11" s="1"/>
  <c r="F22" i="11"/>
  <c r="F23" i="11"/>
  <c r="F15" i="11"/>
  <c r="F19" i="11"/>
  <c r="F20" i="11"/>
  <c r="F7" i="11"/>
  <c r="F6" i="11"/>
  <c r="F12" i="11"/>
  <c r="F17" i="11"/>
  <c r="F13" i="11"/>
  <c r="F21" i="11"/>
  <c r="F25" i="11"/>
  <c r="F11" i="11"/>
  <c r="F8" i="11"/>
  <c r="F10" i="11"/>
  <c r="F14" i="11"/>
  <c r="F24" i="11"/>
  <c r="F16" i="11"/>
  <c r="F32" i="11"/>
  <c r="F33" i="11" s="1"/>
  <c r="E26" i="13"/>
  <c r="F5" i="13" s="1"/>
  <c r="E66" i="13"/>
  <c r="E68" i="13" s="1"/>
  <c r="I5" i="13"/>
  <c r="J5" i="13" s="1"/>
  <c r="G31" i="5"/>
  <c r="D33" i="5"/>
  <c r="G33" i="5" s="1"/>
  <c r="E33" i="9"/>
  <c r="F31" i="9" s="1"/>
  <c r="I31" i="9"/>
  <c r="J31" i="9" s="1"/>
  <c r="F5" i="11"/>
  <c r="E51" i="7"/>
  <c r="E53" i="7" s="1"/>
  <c r="I33" i="7"/>
  <c r="J33" i="7" s="1"/>
  <c r="A31" i="7"/>
  <c r="E37" i="7"/>
  <c r="F32" i="7"/>
  <c r="E31" i="8"/>
  <c r="Q29" i="8"/>
  <c r="Q27" i="8"/>
  <c r="A5" i="8"/>
  <c r="S26" i="8"/>
  <c r="A16" i="8"/>
  <c r="M31" i="6"/>
  <c r="E51" i="11"/>
  <c r="E53" i="11" s="1"/>
  <c r="E37" i="11"/>
  <c r="A31" i="11"/>
  <c r="I33" i="11"/>
  <c r="J33" i="11" s="1"/>
  <c r="J9" i="4"/>
  <c r="J26" i="4" s="1"/>
  <c r="I9" i="4"/>
  <c r="N9" i="4"/>
  <c r="E31" i="12"/>
  <c r="Q29" i="12"/>
  <c r="F31" i="7"/>
  <c r="I5" i="9"/>
  <c r="J5" i="9" s="1"/>
  <c r="E26" i="9"/>
  <c r="F5" i="9" s="1"/>
  <c r="E66" i="9"/>
  <c r="E68" i="9" s="1"/>
  <c r="F26" i="7"/>
  <c r="I32" i="9"/>
  <c r="J32" i="9" s="1"/>
  <c r="A16" i="12"/>
  <c r="S26" i="12"/>
  <c r="Q27" i="12"/>
  <c r="A5" i="12"/>
  <c r="E55" i="7"/>
  <c r="E70" i="9"/>
  <c r="E72" i="9" s="1"/>
  <c r="I8" i="9"/>
  <c r="J8" i="9" s="1"/>
  <c r="I10" i="4"/>
  <c r="Q10" i="4"/>
  <c r="R10" i="4" s="1"/>
  <c r="N10" i="4"/>
  <c r="J10" i="4"/>
  <c r="F31" i="13"/>
  <c r="F33" i="13" s="1"/>
  <c r="E37" i="13"/>
  <c r="A31" i="13"/>
  <c r="I33" i="13"/>
  <c r="J33" i="13" s="1"/>
  <c r="E51" i="13"/>
  <c r="E53" i="13" s="1"/>
  <c r="F53" i="13" s="1"/>
  <c r="M31" i="10"/>
  <c r="F33" i="7" l="1"/>
  <c r="N26" i="4"/>
  <c r="F8" i="9"/>
  <c r="F32" i="9"/>
  <c r="F33" i="9" s="1"/>
  <c r="F9" i="9"/>
  <c r="S27" i="12"/>
  <c r="Q31" i="12"/>
  <c r="S31" i="12" s="1"/>
  <c r="A16" i="9"/>
  <c r="E57" i="9"/>
  <c r="E59" i="9" s="1"/>
  <c r="I26" i="9"/>
  <c r="J26" i="9" s="1"/>
  <c r="E47" i="9"/>
  <c r="E49" i="9" s="1"/>
  <c r="A5" i="9"/>
  <c r="F13" i="9"/>
  <c r="F15" i="9"/>
  <c r="F17" i="9"/>
  <c r="F20" i="9"/>
  <c r="F24" i="9"/>
  <c r="F6" i="9"/>
  <c r="F19" i="9"/>
  <c r="F21" i="9"/>
  <c r="F10" i="9"/>
  <c r="F12" i="9"/>
  <c r="F18" i="9"/>
  <c r="F22" i="9"/>
  <c r="F23" i="9"/>
  <c r="F11" i="9"/>
  <c r="F16" i="9"/>
  <c r="F7" i="9"/>
  <c r="F25" i="9"/>
  <c r="F14" i="9"/>
  <c r="Q31" i="8"/>
  <c r="S31" i="8" s="1"/>
  <c r="S27" i="8"/>
  <c r="F26" i="11"/>
  <c r="E57" i="13"/>
  <c r="E59" i="13" s="1"/>
  <c r="E47" i="13"/>
  <c r="E49" i="13" s="1"/>
  <c r="A5" i="13"/>
  <c r="A16" i="13"/>
  <c r="I26" i="13"/>
  <c r="J26" i="13" s="1"/>
  <c r="F19" i="13"/>
  <c r="F21" i="13"/>
  <c r="F20" i="13"/>
  <c r="F16" i="13"/>
  <c r="F23" i="13"/>
  <c r="F10" i="13"/>
  <c r="F13" i="13"/>
  <c r="F24" i="13"/>
  <c r="F18" i="13"/>
  <c r="F12" i="13"/>
  <c r="F15" i="13"/>
  <c r="F22" i="13"/>
  <c r="F11" i="13"/>
  <c r="F8" i="13"/>
  <c r="F7" i="13"/>
  <c r="F6" i="13"/>
  <c r="F25" i="13"/>
  <c r="F17" i="13"/>
  <c r="F14" i="13"/>
  <c r="F9" i="13"/>
  <c r="E55" i="11"/>
  <c r="E39" i="11"/>
  <c r="F38" i="11" s="1"/>
  <c r="A31" i="9"/>
  <c r="E51" i="9"/>
  <c r="E53" i="9" s="1"/>
  <c r="F53" i="9" s="1"/>
  <c r="E37" i="9"/>
  <c r="I33" i="9"/>
  <c r="J33" i="9" s="1"/>
  <c r="E39" i="13"/>
  <c r="F38" i="13" s="1"/>
  <c r="E39" i="7"/>
  <c r="F38" i="7" s="1"/>
  <c r="I26" i="4"/>
  <c r="Q25" i="4"/>
  <c r="R25" i="4" s="1"/>
  <c r="F26" i="13" l="1"/>
  <c r="F26" i="9"/>
  <c r="F37" i="13"/>
  <c r="F39" i="13" s="1"/>
  <c r="E55" i="13"/>
  <c r="F55" i="13" s="1"/>
  <c r="F49" i="13"/>
  <c r="F49" i="9"/>
  <c r="E55" i="9"/>
  <c r="F55" i="9" s="1"/>
  <c r="E39" i="9"/>
  <c r="F38" i="9" s="1"/>
  <c r="F37" i="7"/>
  <c r="F39" i="7" s="1"/>
  <c r="F37" i="11"/>
  <c r="F39" i="11" s="1"/>
  <c r="F37" i="9" l="1"/>
  <c r="F39" i="9" s="1"/>
</calcChain>
</file>

<file path=xl/sharedStrings.xml><?xml version="1.0" encoding="utf-8"?>
<sst xmlns="http://schemas.openxmlformats.org/spreadsheetml/2006/main" count="715" uniqueCount="174">
  <si>
    <t>FY18 Allocations and Priority Rankings</t>
  </si>
  <si>
    <t>PART A</t>
  </si>
  <si>
    <t>FY18 NoA received 5.23.18</t>
  </si>
  <si>
    <t>FY18               % by type</t>
  </si>
  <si>
    <t xml:space="preserve">Projection of Newly Diagnosed Persons (Unaware) to be linked to RW services in the DEMA in FY19, based on proportion of all diagnosed persons receiving Ryan White services in FY16 in the DEMA </t>
  </si>
  <si>
    <t>Average Cost per Client Calculations, based on FY18 allocations and projected clients</t>
  </si>
  <si>
    <t>Type</t>
  </si>
  <si>
    <t>FY18               Priority</t>
  </si>
  <si>
    <t>Service Category (HRSA)</t>
  </si>
  <si>
    <t>FY18                            Current Allocation</t>
  </si>
  <si>
    <t>% of award</t>
  </si>
  <si>
    <t xml:space="preserve">Proportion allocation represents of Service Category funded by both Part A &amp; MAI (used to back out respective funding sources for final allocations) </t>
  </si>
  <si>
    <t>Fiscal Year 19 Projected</t>
  </si>
  <si>
    <t>Analysis: Changes in Average Costs between FY14 and FY15</t>
  </si>
  <si>
    <t>FY18                      Current Allocation</t>
  </si>
  <si>
    <t>FY18                      Projected Clients</t>
  </si>
  <si>
    <t>FY19              Average Projected Cost/Client</t>
  </si>
  <si>
    <t>FY14 Average Cost/Client</t>
  </si>
  <si>
    <t>Total increase (decrease) FY15</t>
  </si>
  <si>
    <t>% increase (decrease) FY15</t>
  </si>
  <si>
    <t>Note: Col C was not linked properly, relinked to FY18 Allocations Tab to correct errors. Lfs</t>
  </si>
  <si>
    <t>CORE</t>
  </si>
  <si>
    <t>Outpatient/Ambulatory Health Services (Combined Part &amp; MAI)</t>
  </si>
  <si>
    <t>FY 17                          RW Clients Served</t>
  </si>
  <si>
    <t>Proportion Total Reported Cases, served in 2017</t>
  </si>
  <si>
    <t>FY19 Projected Unaware to be Linked to RW Services</t>
  </si>
  <si>
    <t>Outpatient/Ambulatory Health Services (Part A only)</t>
  </si>
  <si>
    <t>ADAP</t>
  </si>
  <si>
    <t>AIDS Pharmaceutical Assistance</t>
  </si>
  <si>
    <t>Oral Health</t>
  </si>
  <si>
    <t>Early Intervention Services   (Part A only)</t>
  </si>
  <si>
    <t>Early Intervention Services (Combined Part &amp; MAI)</t>
  </si>
  <si>
    <t xml:space="preserve">Health Insurance Premium Cost-Sharing Assistance </t>
  </si>
  <si>
    <t>Home &amp; Community Based Health Services</t>
  </si>
  <si>
    <t xml:space="preserve">Hospice Services </t>
  </si>
  <si>
    <t>Mental Health Services</t>
  </si>
  <si>
    <t>Medical Nutrition Therapy</t>
  </si>
  <si>
    <t>Medical Case Management (Incl. Treatment Adh)</t>
  </si>
  <si>
    <t>Hospice Services</t>
  </si>
  <si>
    <t>SUPPORT</t>
  </si>
  <si>
    <t>Non Medical Case Management</t>
  </si>
  <si>
    <t>Child Care</t>
  </si>
  <si>
    <t>Emergency Financial Assistance</t>
  </si>
  <si>
    <t>Food Bank/Home Delivered Meals</t>
  </si>
  <si>
    <t>Housing Assistance</t>
  </si>
  <si>
    <t>Linguistics</t>
  </si>
  <si>
    <t>Medical Transportation</t>
  </si>
  <si>
    <t>Other Professional Services</t>
  </si>
  <si>
    <t>Psychosocial Support</t>
  </si>
  <si>
    <t>Respite Care</t>
  </si>
  <si>
    <t>Notes:</t>
  </si>
  <si>
    <t>Col C:  FY17 RW Clients Served, Source: FY17 CAREWare data as reported in , provided by Leanne Savola</t>
  </si>
  <si>
    <t>Cols D and E:  Numbers used to calculate UNAWARE assuming proportion of newly dx served at same rate as previously dx:</t>
  </si>
  <si>
    <t>2017 Detroit Metro Area HIV Surveillance Report, persons diagnosed with HIV</t>
  </si>
  <si>
    <t>Average new diagnoses in DEMA</t>
  </si>
  <si>
    <t>Base Allocations: calculated by multiplying FY18 projected average costs times FY19 projected clients and a proportionate increase in new diagnoses linked to care</t>
  </si>
  <si>
    <t>FY19 Projected Allocation        % by type</t>
  </si>
  <si>
    <t>FY18 Clients Projected</t>
  </si>
  <si>
    <t>FY19 Unaware (New Dx, to be linked to care)</t>
  </si>
  <si>
    <t xml:space="preserve">FY19 Clients Projected </t>
  </si>
  <si>
    <t>FY19 Average Projected Cost per Client</t>
  </si>
  <si>
    <t>FY19 Projected Allocation</t>
  </si>
  <si>
    <t>% of Total</t>
  </si>
  <si>
    <t>FY19 PART A &amp; MAI Separate</t>
  </si>
  <si>
    <t>FY19 Maximum Total Allowed by HRSA</t>
  </si>
  <si>
    <t>FY15 Allocations (NoA 5.29.15)</t>
  </si>
  <si>
    <t>Total increase (decrease) FY16</t>
  </si>
  <si>
    <t>% increase (decrease) FY16</t>
  </si>
  <si>
    <t>Rounded to the nearest $1,000</t>
  </si>
  <si>
    <t>Total Services</t>
  </si>
  <si>
    <t>Minority AIDS Initiative</t>
  </si>
  <si>
    <t xml:space="preserve">Service Category (HRSA) </t>
  </si>
  <si>
    <t>Outpatient/Ambulatory Health Services(MAI only)</t>
  </si>
  <si>
    <t>Early Intervention Services (MAI only)</t>
  </si>
  <si>
    <t>Core vs. Support Break Out</t>
  </si>
  <si>
    <t>Current Allocation</t>
  </si>
  <si>
    <t>Core Services</t>
  </si>
  <si>
    <t xml:space="preserve">Col C, Current Allocations, source:  FY18 Allocations-Awards Table, provided by Leanne Savola </t>
  </si>
  <si>
    <t>Col D, FY18 Projected Clients, source:  based on Totaled Scopes of Services by Category , provided by Leanne Savola</t>
  </si>
  <si>
    <t>Support Services</t>
  </si>
  <si>
    <t>Total All Services</t>
  </si>
  <si>
    <t xml:space="preserve">Col C, FY18 Priority Rankings, source:  SEMHAC Service Category Type and Ranking </t>
  </si>
  <si>
    <t xml:space="preserve">Col E, Current Allocations, source:  FY18 Allocations Table, provided by Leanne Savola </t>
  </si>
  <si>
    <t>Col D, FY18 Projected Clients, source:  FY18 contract service projections, provided by Leanne Savola</t>
  </si>
  <si>
    <t xml:space="preserve">Col E, FY18 Unaware:  Projection of proportion of newly diagnosed to be linked to care (see previous tab) </t>
  </si>
  <si>
    <t>Col G, FY19 Average Projected Cost/Client: Projections based on FY18 current allocations and projected clients (see previous tab)</t>
  </si>
  <si>
    <t>Col H:  Totals are rounded to the nearest $10,000 (except where noted)</t>
  </si>
  <si>
    <t>SEMHAC FY19 Allocations: Flat Funding, all funds combined</t>
  </si>
  <si>
    <t>Calculations to convert base allocations to coins for resource allocation activity</t>
  </si>
  <si>
    <t>ANALYSIS: Comparison between FY16 SEMHAC Allocations &amp; FY15 Allocations</t>
  </si>
  <si>
    <t>FY19              % by Type</t>
  </si>
  <si>
    <t>FY19 Priority</t>
  </si>
  <si>
    <t>FY19 Flat Funding (based on FY18 service award)</t>
  </si>
  <si>
    <t>FY16 PART A &amp; MAI Separate</t>
  </si>
  <si>
    <t>Projections Converted to Coins</t>
  </si>
  <si>
    <t>Dollars = $1,000,000</t>
  </si>
  <si>
    <t>Quarters = $250,000</t>
  </si>
  <si>
    <t>Dimes = $100,000</t>
  </si>
  <si>
    <t>Nickels = $50,000</t>
  </si>
  <si>
    <t>Pennies = $10,000</t>
  </si>
  <si>
    <t>Half Cent (5 Mills) = $5,000</t>
  </si>
  <si>
    <t>Group 1</t>
  </si>
  <si>
    <t>Group 2</t>
  </si>
  <si>
    <t>Group Average</t>
  </si>
  <si>
    <t>NR</t>
  </si>
  <si>
    <t>Need to make a substitute coin to represent $5,000</t>
  </si>
  <si>
    <t>Hospice Services (NEW-FY18)</t>
  </si>
  <si>
    <t>Total FY19 Projection</t>
  </si>
  <si>
    <t>TOTAL</t>
  </si>
  <si>
    <t>Total Rounded</t>
  </si>
  <si>
    <t>FY18 Total Allocation for Services</t>
  </si>
  <si>
    <t>FY19 Increase (Decrease) from FY18 Allocation</t>
  </si>
  <si>
    <t>Base Allocation/Level Funding</t>
  </si>
  <si>
    <t>NOTE: The 1 cent is actually the half cent (.40 + .05)</t>
  </si>
  <si>
    <t>FY18 Total Allocation for Services, increased by 5%</t>
  </si>
  <si>
    <t xml:space="preserve">FY19 Increase (Decrease) from FY18 Allocation + 5% </t>
  </si>
  <si>
    <t xml:space="preserve">SEMHAC FY19 Allocations: Flat Funding, Part A &amp; MAI separated, includes percentages of each service category by fund source </t>
  </si>
  <si>
    <t>FY19 SEMHAC Allocation</t>
  </si>
  <si>
    <t>ANALYSIS: Comparison between FY16 SEMHAC &amp; FY15 Allocations</t>
  </si>
  <si>
    <t>FY19               % by type</t>
  </si>
  <si>
    <t>FY19                          Projected Allocation</t>
  </si>
  <si>
    <t>% Total</t>
  </si>
  <si>
    <t>SEMHAC FY19 Allocations: 5% increase, all funds combined</t>
  </si>
  <si>
    <t>Group Average for flat funding</t>
  </si>
  <si>
    <t>Group 1 for 5% increase</t>
  </si>
  <si>
    <t>Group 2 for 5% increase</t>
  </si>
  <si>
    <t>Group Average for 5% increase</t>
  </si>
  <si>
    <t>Total, with 5% increase</t>
  </si>
  <si>
    <t>-</t>
  </si>
  <si>
    <t xml:space="preserve">SEMHAC FY19 Allocations: 5% Increase, Part A &amp; MAI separated, includes percentages of each service category by fund source </t>
  </si>
  <si>
    <t>Total Part A Services</t>
  </si>
  <si>
    <t>ANALYSIS: Comparison between FY16 Projections &amp; FY15 Allocations</t>
  </si>
  <si>
    <t>Outpatient/Ambulatory Medical Care (MAI Only)</t>
  </si>
  <si>
    <t>Early Intervention Services   (MAI Only)</t>
  </si>
  <si>
    <t>Total MAI Services</t>
  </si>
  <si>
    <t xml:space="preserve">lfs- I did not check the formulas on these calculations. All fiscal years need to be updated and formulas should be confirmed. </t>
  </si>
  <si>
    <t>Checks 1 &amp; 2 (confirm alignment with flat funding)</t>
  </si>
  <si>
    <t>FY17 Part A Allocation for Services</t>
  </si>
  <si>
    <t>FY16 PART A Allocation for Services</t>
  </si>
  <si>
    <t>FY17 Allocation Increase (Decrease) from FY16 PART A Allocation</t>
  </si>
  <si>
    <t>FY17 MAI Allocation for Services</t>
  </si>
  <si>
    <t>FY16 MAI Allocation for Services</t>
  </si>
  <si>
    <t>FY17 Allocation Increase (Decrease) from FY16 MAI Allocation</t>
  </si>
  <si>
    <t>Total FY17 Allocation Increase (Decrease) from FY16 Total Allocation</t>
  </si>
  <si>
    <t xml:space="preserve"> FY17 Combined Part A &amp; MAI Allocations</t>
  </si>
  <si>
    <t>FY16 Total Combined Allocation</t>
  </si>
  <si>
    <t>Checks 1 &amp; 2 (confirm alignment with 5% increase)</t>
  </si>
  <si>
    <t>Total FY17 Increase (Decrease) from FY16 Allocation</t>
  </si>
  <si>
    <t>Comparison of actual FY16 allocations with FY17 allocations has slight difference ($2,600) related to round projected allocations to the nearest $10,000.</t>
  </si>
  <si>
    <t>% Increase (Decrease) from FY16 Part A Allocation</t>
  </si>
  <si>
    <t>Check 3 (confirm OAMC &amp; EIS add to total)</t>
  </si>
  <si>
    <t>Total Combined OAMC, from above</t>
  </si>
  <si>
    <t>Total Combined OAMC, from previous tab</t>
  </si>
  <si>
    <t>difference</t>
  </si>
  <si>
    <t>Total Combined EIS, from above</t>
  </si>
  <si>
    <t>Total Combined EIS, from previous tab</t>
  </si>
  <si>
    <t>% Increase (Decrease) from FY16 MAI Allocation</t>
  </si>
  <si>
    <t>% Increase (Decrease) from combined Allocation</t>
  </si>
  <si>
    <t>Total Combined OAMC, from Allocation - 8% increase tab</t>
  </si>
  <si>
    <t>Total Combined EIS, from Allocation - 8% increase tab</t>
  </si>
  <si>
    <t>FY19 Part A Allocation for Services</t>
  </si>
  <si>
    <t>FY18 PART A Allocation for Services</t>
  </si>
  <si>
    <t>FY19 Allocation Increase (Decrease) from FY18 PART A Allocation</t>
  </si>
  <si>
    <t>% Increase (Decrease) from FY18 Part A Allocation</t>
  </si>
  <si>
    <t>FY19 MAI Allocation for Services</t>
  </si>
  <si>
    <t>FY18 MAI Allocation for Services</t>
  </si>
  <si>
    <t>FY19 Allocation Increase (Decrease) from FY18 MAI Allocation</t>
  </si>
  <si>
    <t>Total FY19 Allocation Increase (Decrease) from FY18 Total Allocation</t>
  </si>
  <si>
    <t xml:space="preserve"> FY19 Combined Part A &amp; MAI Allocations</t>
  </si>
  <si>
    <t>FY18 Total Combined Allocation</t>
  </si>
  <si>
    <t>Total FY19 Increase (Decrease) from FY18 Allocation</t>
  </si>
  <si>
    <t>Check 3 (confirm OAHS &amp; EIS add to total)</t>
  </si>
  <si>
    <t>Total Combined OAHS, from above</t>
  </si>
  <si>
    <t>Total Combined OAHS, from Allocation - Waiver increase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</si>
</sst>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quot;$&quot;#,##0"/>
    <numFmt numFmtId="166" formatCode="&quot;$&quot;#,##0.000_);\(&quot;$&quot;#,##0.000\)"/>
    <numFmt numFmtId="167" formatCode="_([$$-409]* #,##0.000_);_([$$-409]* \(#,##0.000\);_([$$-409]* &quot;-&quot;??_);_(@_)"/>
    <numFmt numFmtId="168" formatCode="_(&quot;$&quot;* #,##0_);_(&quot;$&quot;* \(#,##0\);_(&quot;$&quot;* &quot;-&quot;??_);_(@_)"/>
    <numFmt numFmtId="169" formatCode="0.0000"/>
  </numFmts>
  <fonts count="14" x14ac:knownFonts="1">
    <font>
      <sz val="12"/>
      <color rgb="FF000000"/>
      <name val="Calibri"/>
    </font>
    <font>
      <b/>
      <sz val="12"/>
      <color rgb="FF000000"/>
      <name val="Calibri"/>
    </font>
    <font>
      <sz val="12"/>
      <name val="Calibri"/>
    </font>
    <font>
      <sz val="12"/>
      <name val="Calibri"/>
    </font>
    <font>
      <b/>
      <sz val="12"/>
      <color rgb="FFFF0000"/>
      <name val="Calibri"/>
    </font>
    <font>
      <i/>
      <sz val="11"/>
      <color rgb="FF000000"/>
      <name val="Calibri"/>
    </font>
    <font>
      <i/>
      <sz val="12"/>
      <color rgb="FF000000"/>
      <name val="Calibri"/>
    </font>
    <font>
      <i/>
      <sz val="12"/>
      <name val="Calibri"/>
    </font>
    <font>
      <b/>
      <sz val="14"/>
      <color rgb="FF000000"/>
      <name val="Calibri"/>
    </font>
    <font>
      <sz val="10"/>
      <color rgb="FF000000"/>
      <name val="Calibri"/>
    </font>
    <font>
      <b/>
      <sz val="12"/>
      <name val="Calibri"/>
    </font>
    <font>
      <sz val="14"/>
      <color rgb="FF000000"/>
      <name val="Calibri"/>
    </font>
    <font>
      <u/>
      <sz val="12"/>
      <color rgb="FF000000"/>
      <name val="Calibri"/>
    </font>
    <font>
      <u/>
      <sz val="12"/>
      <color rgb="FF000000"/>
      <name val="Calibri"/>
    </font>
  </fonts>
  <fills count="17">
    <fill>
      <patternFill patternType="none"/>
    </fill>
    <fill>
      <patternFill patternType="gray125"/>
    </fill>
    <fill>
      <patternFill patternType="solid">
        <fgColor rgb="FFFFFF00"/>
        <bgColor rgb="FFFFFF00"/>
      </patternFill>
    </fill>
    <fill>
      <patternFill patternType="solid">
        <fgColor rgb="FFDBE5F1"/>
        <bgColor rgb="FFDBE5F1"/>
      </patternFill>
    </fill>
    <fill>
      <patternFill patternType="solid">
        <fgColor rgb="FFFFFFFF"/>
        <bgColor rgb="FFFFFFFF"/>
      </patternFill>
    </fill>
    <fill>
      <patternFill patternType="solid">
        <fgColor rgb="FF00B050"/>
        <bgColor rgb="FF00B050"/>
      </patternFill>
    </fill>
    <fill>
      <patternFill patternType="solid">
        <fgColor rgb="FF99FF33"/>
        <bgColor rgb="FF99FF33"/>
      </patternFill>
    </fill>
    <fill>
      <patternFill patternType="solid">
        <fgColor rgb="FFFDE9D9"/>
        <bgColor rgb="FFFDE9D9"/>
      </patternFill>
    </fill>
    <fill>
      <patternFill patternType="solid">
        <fgColor rgb="FF000000"/>
        <bgColor rgb="FF000000"/>
      </patternFill>
    </fill>
    <fill>
      <patternFill patternType="solid">
        <fgColor rgb="FFEAF1DD"/>
        <bgColor rgb="FFEAF1DD"/>
      </patternFill>
    </fill>
    <fill>
      <patternFill patternType="solid">
        <fgColor rgb="FF595959"/>
        <bgColor rgb="FF595959"/>
      </patternFill>
    </fill>
    <fill>
      <patternFill patternType="solid">
        <fgColor rgb="FF92D050"/>
        <bgColor rgb="FF92D050"/>
      </patternFill>
    </fill>
    <fill>
      <patternFill patternType="solid">
        <fgColor rgb="FFDAEEF3"/>
        <bgColor rgb="FFDAEEF3"/>
      </patternFill>
    </fill>
    <fill>
      <patternFill patternType="solid">
        <fgColor rgb="FFB8CCE4"/>
        <bgColor rgb="FFB8CCE4"/>
      </patternFill>
    </fill>
    <fill>
      <patternFill patternType="solid">
        <fgColor rgb="FFE5B8B7"/>
        <bgColor rgb="FFE5B8B7"/>
      </patternFill>
    </fill>
    <fill>
      <patternFill patternType="solid">
        <fgColor rgb="FF0F243E"/>
        <bgColor rgb="FF0F243E"/>
      </patternFill>
    </fill>
    <fill>
      <patternFill patternType="solid">
        <fgColor rgb="FFFFFF00"/>
        <bgColor indexed="64"/>
      </patternFill>
    </fill>
  </fills>
  <borders count="61">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style="medium">
        <color rgb="FF000000"/>
      </bottom>
      <diagonal/>
    </border>
    <border>
      <left/>
      <right/>
      <top/>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right/>
      <top style="thin">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medium">
        <color rgb="FF000000"/>
      </bottom>
      <diagonal/>
    </border>
    <border>
      <left/>
      <right/>
      <top/>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s>
  <cellStyleXfs count="1">
    <xf numFmtId="0" fontId="0" fillId="0" borderId="0"/>
  </cellStyleXfs>
  <cellXfs count="371">
    <xf numFmtId="0" fontId="0" fillId="0" borderId="0" xfId="0" applyFont="1" applyAlignment="1"/>
    <xf numFmtId="0" fontId="1" fillId="0" borderId="0" xfId="0" applyFont="1"/>
    <xf numFmtId="0" fontId="0" fillId="0" borderId="0" xfId="0" applyFont="1"/>
    <xf numFmtId="0" fontId="0" fillId="0" borderId="1" xfId="0" applyFont="1" applyBorder="1"/>
    <xf numFmtId="0" fontId="0" fillId="0" borderId="2" xfId="0" applyFont="1" applyBorder="1"/>
    <xf numFmtId="0" fontId="2" fillId="0" borderId="3" xfId="0" applyFont="1" applyBorder="1" applyAlignment="1">
      <alignment wrapText="1"/>
    </xf>
    <xf numFmtId="0" fontId="2" fillId="0" borderId="3" xfId="0" applyFont="1" applyBorder="1"/>
    <xf numFmtId="0" fontId="0" fillId="0" borderId="3" xfId="0" applyFont="1" applyBorder="1"/>
    <xf numFmtId="0" fontId="0" fillId="2" borderId="3" xfId="0" applyFont="1" applyFill="1" applyBorder="1" applyAlignment="1">
      <alignment wrapText="1"/>
    </xf>
    <xf numFmtId="164" fontId="0" fillId="0" borderId="0" xfId="0" applyNumberFormat="1" applyFont="1"/>
    <xf numFmtId="164" fontId="0" fillId="0" borderId="0" xfId="0" applyNumberFormat="1" applyFont="1" applyAlignment="1">
      <alignment horizontal="center"/>
    </xf>
    <xf numFmtId="164" fontId="2" fillId="0" borderId="3" xfId="0" applyNumberFormat="1" applyFont="1" applyBorder="1" applyAlignment="1">
      <alignment wrapText="1"/>
    </xf>
    <xf numFmtId="164" fontId="2" fillId="2" borderId="3" xfId="0" applyNumberFormat="1" applyFont="1" applyFill="1" applyBorder="1" applyAlignment="1">
      <alignment wrapText="1"/>
    </xf>
    <xf numFmtId="164" fontId="0" fillId="3" borderId="3" xfId="0" applyNumberFormat="1" applyFont="1" applyFill="1" applyBorder="1" applyAlignment="1">
      <alignment wrapText="1"/>
    </xf>
    <xf numFmtId="0" fontId="0" fillId="0" borderId="3" xfId="0" applyFont="1" applyBorder="1" applyAlignment="1">
      <alignment wrapText="1"/>
    </xf>
    <xf numFmtId="0" fontId="4" fillId="0" borderId="0" xfId="0" applyFont="1"/>
    <xf numFmtId="0" fontId="2" fillId="0" borderId="7" xfId="0" applyFont="1" applyBorder="1" applyAlignment="1">
      <alignment vertical="top" wrapText="1"/>
    </xf>
    <xf numFmtId="0" fontId="1" fillId="0" borderId="0" xfId="0" applyFont="1" applyAlignment="1">
      <alignment wrapText="1"/>
    </xf>
    <xf numFmtId="164" fontId="2" fillId="2" borderId="3" xfId="0" applyNumberFormat="1" applyFont="1" applyFill="1" applyBorder="1" applyAlignment="1">
      <alignment horizontal="left" wrapText="1"/>
    </xf>
    <xf numFmtId="164" fontId="2" fillId="0" borderId="0" xfId="0" applyNumberFormat="1" applyFont="1" applyAlignment="1">
      <alignment horizontal="left" wrapText="1"/>
    </xf>
    <xf numFmtId="5" fontId="0" fillId="0" borderId="8" xfId="0" applyNumberFormat="1" applyFont="1" applyBorder="1"/>
    <xf numFmtId="164" fontId="2" fillId="2" borderId="9" xfId="0" applyNumberFormat="1" applyFont="1" applyFill="1" applyBorder="1"/>
    <xf numFmtId="5" fontId="2" fillId="0" borderId="8" xfId="0" applyNumberFormat="1" applyFont="1" applyBorder="1"/>
    <xf numFmtId="0" fontId="0" fillId="0" borderId="0" xfId="0" applyFont="1" applyAlignment="1">
      <alignment wrapText="1"/>
    </xf>
    <xf numFmtId="0" fontId="2" fillId="0" borderId="8" xfId="0" applyFont="1" applyBorder="1" applyAlignment="1">
      <alignment horizontal="center" vertical="top" wrapText="1"/>
    </xf>
    <xf numFmtId="7" fontId="0" fillId="2" borderId="9" xfId="0" applyNumberFormat="1" applyFont="1" applyFill="1" applyBorder="1"/>
    <xf numFmtId="9" fontId="0" fillId="0" borderId="8" xfId="0" applyNumberFormat="1" applyFont="1" applyBorder="1"/>
    <xf numFmtId="10" fontId="0" fillId="0" borderId="8" xfId="0" applyNumberFormat="1" applyFont="1" applyBorder="1"/>
    <xf numFmtId="37" fontId="0" fillId="0" borderId="8" xfId="0" applyNumberFormat="1" applyFont="1" applyBorder="1"/>
    <xf numFmtId="164" fontId="2" fillId="0" borderId="0" xfId="0" applyNumberFormat="1" applyFont="1"/>
    <xf numFmtId="10" fontId="0" fillId="0" borderId="0" xfId="0" applyNumberFormat="1" applyFont="1"/>
    <xf numFmtId="43" fontId="0" fillId="0" borderId="0" xfId="0" applyNumberFormat="1" applyFont="1"/>
    <xf numFmtId="37" fontId="0" fillId="0" borderId="0" xfId="0" applyNumberFormat="1" applyFont="1"/>
    <xf numFmtId="0" fontId="0" fillId="0" borderId="10" xfId="0" applyFont="1" applyBorder="1" applyAlignment="1">
      <alignment horizontal="left"/>
    </xf>
    <xf numFmtId="0" fontId="2" fillId="0" borderId="10" xfId="0" applyFont="1" applyBorder="1" applyAlignment="1">
      <alignment horizontal="center" vertical="top" wrapText="1"/>
    </xf>
    <xf numFmtId="164" fontId="0" fillId="3" borderId="9" xfId="0" applyNumberFormat="1" applyFont="1" applyFill="1" applyBorder="1"/>
    <xf numFmtId="7" fontId="0" fillId="2" borderId="10" xfId="0" applyNumberFormat="1" applyFont="1" applyFill="1" applyBorder="1"/>
    <xf numFmtId="10" fontId="0" fillId="0" borderId="10" xfId="0" applyNumberFormat="1" applyFont="1" applyBorder="1"/>
    <xf numFmtId="5" fontId="0" fillId="0" borderId="10" xfId="0" applyNumberFormat="1" applyFont="1" applyBorder="1"/>
    <xf numFmtId="0" fontId="2" fillId="0" borderId="10" xfId="0" applyFont="1" applyBorder="1" applyAlignment="1">
      <alignment vertical="top" wrapText="1"/>
    </xf>
    <xf numFmtId="5" fontId="2" fillId="0" borderId="10" xfId="0" applyNumberFormat="1" applyFont="1" applyBorder="1"/>
    <xf numFmtId="0" fontId="2" fillId="0" borderId="11" xfId="0" applyFont="1" applyBorder="1" applyAlignment="1">
      <alignment horizontal="center" vertical="top" wrapText="1"/>
    </xf>
    <xf numFmtId="164" fontId="0" fillId="3" borderId="10" xfId="0" applyNumberFormat="1" applyFont="1" applyFill="1" applyBorder="1"/>
    <xf numFmtId="0" fontId="2" fillId="0" borderId="11" xfId="0" applyFont="1" applyBorder="1" applyAlignment="1">
      <alignment vertical="top" wrapText="1"/>
    </xf>
    <xf numFmtId="9" fontId="0" fillId="0" borderId="10" xfId="0" applyNumberFormat="1" applyFont="1" applyBorder="1"/>
    <xf numFmtId="164" fontId="2" fillId="2" borderId="10" xfId="0" applyNumberFormat="1" applyFont="1" applyFill="1" applyBorder="1"/>
    <xf numFmtId="164" fontId="2" fillId="2" borderId="12" xfId="0" applyNumberFormat="1" applyFont="1" applyFill="1" applyBorder="1"/>
    <xf numFmtId="7" fontId="0" fillId="2" borderId="13" xfId="0" applyNumberFormat="1" applyFont="1" applyFill="1" applyBorder="1" applyAlignment="1">
      <alignment vertical="top"/>
    </xf>
    <xf numFmtId="10" fontId="0" fillId="0" borderId="11" xfId="0" applyNumberFormat="1" applyFont="1" applyBorder="1" applyAlignment="1">
      <alignment vertical="top"/>
    </xf>
    <xf numFmtId="5" fontId="2" fillId="0" borderId="14" xfId="0" applyNumberFormat="1" applyFont="1" applyBorder="1"/>
    <xf numFmtId="43" fontId="0" fillId="0" borderId="10" xfId="0" applyNumberFormat="1" applyFont="1" applyBorder="1"/>
    <xf numFmtId="0" fontId="2" fillId="4" borderId="15" xfId="0" applyFont="1" applyFill="1" applyBorder="1" applyAlignment="1">
      <alignment horizontal="center" vertical="top" wrapText="1"/>
    </xf>
    <xf numFmtId="0" fontId="0" fillId="2" borderId="10" xfId="0" applyFont="1" applyFill="1" applyBorder="1"/>
    <xf numFmtId="164" fontId="2" fillId="2" borderId="13" xfId="0" applyNumberFormat="1" applyFont="1" applyFill="1" applyBorder="1"/>
    <xf numFmtId="0" fontId="0" fillId="4" borderId="10" xfId="0" applyFont="1" applyFill="1" applyBorder="1"/>
    <xf numFmtId="9" fontId="0" fillId="0" borderId="11" xfId="0" applyNumberFormat="1" applyFont="1" applyBorder="1"/>
    <xf numFmtId="0" fontId="2" fillId="4" borderId="16" xfId="0" applyFont="1" applyFill="1" applyBorder="1" applyAlignment="1">
      <alignment horizontal="center" vertical="top" wrapText="1"/>
    </xf>
    <xf numFmtId="37" fontId="0" fillId="0" borderId="11" xfId="0" applyNumberFormat="1" applyFont="1" applyBorder="1"/>
    <xf numFmtId="0" fontId="0" fillId="4" borderId="3" xfId="0" applyFont="1" applyFill="1" applyBorder="1"/>
    <xf numFmtId="0" fontId="0" fillId="2" borderId="3" xfId="0" applyFont="1" applyFill="1" applyBorder="1"/>
    <xf numFmtId="164" fontId="0" fillId="4" borderId="17" xfId="0" applyNumberFormat="1" applyFont="1" applyFill="1" applyBorder="1"/>
    <xf numFmtId="164" fontId="0" fillId="4" borderId="10" xfId="0" applyNumberFormat="1" applyFont="1" applyFill="1" applyBorder="1"/>
    <xf numFmtId="5" fontId="0" fillId="4" borderId="10" xfId="0" applyNumberFormat="1" applyFont="1" applyFill="1" applyBorder="1"/>
    <xf numFmtId="9" fontId="0" fillId="4" borderId="10" xfId="0" applyNumberFormat="1" applyFont="1" applyFill="1" applyBorder="1"/>
    <xf numFmtId="0" fontId="0" fillId="4" borderId="17" xfId="0" applyFont="1" applyFill="1" applyBorder="1"/>
    <xf numFmtId="7" fontId="0" fillId="0" borderId="0" xfId="0" applyNumberFormat="1" applyFont="1"/>
    <xf numFmtId="0" fontId="0" fillId="2" borderId="10" xfId="0" applyFont="1" applyFill="1" applyBorder="1" applyAlignment="1">
      <alignment horizontal="right"/>
    </xf>
    <xf numFmtId="0" fontId="0" fillId="0" borderId="0" xfId="0" applyFont="1" applyAlignment="1">
      <alignment horizontal="right"/>
    </xf>
    <xf numFmtId="164" fontId="2" fillId="2" borderId="18" xfId="0" applyNumberFormat="1" applyFont="1" applyFill="1" applyBorder="1"/>
    <xf numFmtId="0" fontId="0" fillId="0" borderId="8" xfId="0" applyFont="1" applyBorder="1" applyAlignment="1">
      <alignment horizontal="left"/>
    </xf>
    <xf numFmtId="164" fontId="2" fillId="2" borderId="3" xfId="0" applyNumberFormat="1" applyFont="1" applyFill="1" applyBorder="1"/>
    <xf numFmtId="9" fontId="0" fillId="0" borderId="3" xfId="0" applyNumberFormat="1" applyFont="1" applyBorder="1"/>
    <xf numFmtId="37" fontId="0" fillId="0" borderId="3" xfId="0" applyNumberFormat="1" applyFont="1" applyBorder="1"/>
    <xf numFmtId="0" fontId="2" fillId="0" borderId="3" xfId="0" applyFont="1" applyBorder="1" applyAlignment="1">
      <alignment horizontal="center" vertical="top" wrapText="1"/>
    </xf>
    <xf numFmtId="0" fontId="0" fillId="2" borderId="9" xfId="0" applyFont="1" applyFill="1" applyBorder="1"/>
    <xf numFmtId="37" fontId="0" fillId="0" borderId="6" xfId="0" applyNumberFormat="1" applyFont="1" applyBorder="1"/>
    <xf numFmtId="0" fontId="0" fillId="0" borderId="19" xfId="0" applyFont="1" applyBorder="1" applyAlignment="1">
      <alignment horizontal="left"/>
    </xf>
    <xf numFmtId="43" fontId="0" fillId="0" borderId="3" xfId="0" applyNumberFormat="1" applyFont="1" applyBorder="1"/>
    <xf numFmtId="0" fontId="1" fillId="2" borderId="17" xfId="0" applyFont="1" applyFill="1" applyBorder="1"/>
    <xf numFmtId="0" fontId="0" fillId="2" borderId="17" xfId="0" applyFont="1" applyFill="1" applyBorder="1"/>
    <xf numFmtId="164" fontId="0" fillId="2" borderId="17" xfId="0" applyNumberFormat="1" applyFont="1" applyFill="1" applyBorder="1"/>
    <xf numFmtId="164" fontId="0" fillId="5" borderId="17" xfId="0" applyNumberFormat="1" applyFont="1" applyFill="1" applyBorder="1"/>
    <xf numFmtId="0" fontId="0" fillId="0" borderId="26" xfId="0" applyFont="1" applyBorder="1" applyAlignment="1">
      <alignment wrapText="1"/>
    </xf>
    <xf numFmtId="0" fontId="0" fillId="6" borderId="3" xfId="0" applyFont="1" applyFill="1" applyBorder="1" applyAlignment="1">
      <alignment wrapText="1"/>
    </xf>
    <xf numFmtId="0" fontId="0" fillId="7" borderId="27" xfId="0" applyFont="1" applyFill="1" applyBorder="1" applyAlignment="1">
      <alignment wrapText="1"/>
    </xf>
    <xf numFmtId="0" fontId="0" fillId="7" borderId="17" xfId="0" applyFont="1" applyFill="1" applyBorder="1" applyAlignment="1">
      <alignment wrapText="1"/>
    </xf>
    <xf numFmtId="0" fontId="0" fillId="8" borderId="3" xfId="0" applyFont="1" applyFill="1" applyBorder="1" applyAlignment="1">
      <alignment wrapText="1"/>
    </xf>
    <xf numFmtId="164" fontId="0" fillId="9" borderId="3" xfId="0" applyNumberFormat="1" applyFont="1" applyFill="1" applyBorder="1" applyAlignment="1">
      <alignment wrapText="1"/>
    </xf>
    <xf numFmtId="164" fontId="2" fillId="0" borderId="8" xfId="0" applyNumberFormat="1" applyFont="1" applyBorder="1"/>
    <xf numFmtId="164" fontId="0" fillId="0" borderId="8" xfId="0" applyNumberFormat="1" applyFont="1" applyBorder="1"/>
    <xf numFmtId="5" fontId="0" fillId="0" borderId="28" xfId="0" applyNumberFormat="1" applyFont="1" applyBorder="1"/>
    <xf numFmtId="165" fontId="0" fillId="6" borderId="9" xfId="0" applyNumberFormat="1" applyFont="1" applyFill="1" applyBorder="1"/>
    <xf numFmtId="10" fontId="0" fillId="7" borderId="29" xfId="0" applyNumberFormat="1" applyFont="1" applyFill="1" applyBorder="1"/>
    <xf numFmtId="165" fontId="0" fillId="7" borderId="17" xfId="0" applyNumberFormat="1" applyFont="1" applyFill="1" applyBorder="1"/>
    <xf numFmtId="165" fontId="0" fillId="8" borderId="9" xfId="0" applyNumberFormat="1" applyFont="1" applyFill="1" applyBorder="1"/>
    <xf numFmtId="164" fontId="0" fillId="9" borderId="9" xfId="0" applyNumberFormat="1" applyFont="1" applyFill="1" applyBorder="1"/>
    <xf numFmtId="165" fontId="0" fillId="6" borderId="10" xfId="0" applyNumberFormat="1" applyFont="1" applyFill="1" applyBorder="1"/>
    <xf numFmtId="165" fontId="0" fillId="8" borderId="10" xfId="0" applyNumberFormat="1" applyFont="1" applyFill="1" applyBorder="1"/>
    <xf numFmtId="0" fontId="0" fillId="9" borderId="10" xfId="0" applyFont="1" applyFill="1" applyBorder="1"/>
    <xf numFmtId="0" fontId="0" fillId="10" borderId="10" xfId="0" applyFont="1" applyFill="1" applyBorder="1" applyAlignment="1">
      <alignment horizontal="left"/>
    </xf>
    <xf numFmtId="164" fontId="2" fillId="10" borderId="9" xfId="0" applyNumberFormat="1" applyFont="1" applyFill="1" applyBorder="1"/>
    <xf numFmtId="164" fontId="0" fillId="10" borderId="9" xfId="0" applyNumberFormat="1" applyFont="1" applyFill="1" applyBorder="1"/>
    <xf numFmtId="5" fontId="0" fillId="10" borderId="30" xfId="0" applyNumberFormat="1" applyFont="1" applyFill="1" applyBorder="1"/>
    <xf numFmtId="165" fontId="0" fillId="10" borderId="10" xfId="0" applyNumberFormat="1" applyFont="1" applyFill="1" applyBorder="1"/>
    <xf numFmtId="10" fontId="0" fillId="10" borderId="29" xfId="0" applyNumberFormat="1" applyFont="1" applyFill="1" applyBorder="1"/>
    <xf numFmtId="165" fontId="0" fillId="10" borderId="17" xfId="0" applyNumberFormat="1" applyFont="1" applyFill="1" applyBorder="1"/>
    <xf numFmtId="164" fontId="0" fillId="9" borderId="10" xfId="0" applyNumberFormat="1" applyFont="1" applyFill="1" applyBorder="1"/>
    <xf numFmtId="164" fontId="2" fillId="0" borderId="11" xfId="0" applyNumberFormat="1" applyFont="1" applyBorder="1"/>
    <xf numFmtId="164" fontId="0" fillId="0" borderId="11" xfId="0" applyNumberFormat="1" applyFont="1" applyBorder="1"/>
    <xf numFmtId="5" fontId="0" fillId="0" borderId="31" xfId="0" applyNumberFormat="1" applyFont="1" applyBorder="1"/>
    <xf numFmtId="164" fontId="2" fillId="4" borderId="13" xfId="0" applyNumberFormat="1" applyFont="1" applyFill="1" applyBorder="1"/>
    <xf numFmtId="164" fontId="0" fillId="4" borderId="13" xfId="0" applyNumberFormat="1" applyFont="1" applyFill="1" applyBorder="1"/>
    <xf numFmtId="5" fontId="0" fillId="4" borderId="32" xfId="0" applyNumberFormat="1" applyFont="1" applyFill="1" applyBorder="1"/>
    <xf numFmtId="165" fontId="0" fillId="6" borderId="13" xfId="0" applyNumberFormat="1" applyFont="1" applyFill="1" applyBorder="1"/>
    <xf numFmtId="165" fontId="0" fillId="8" borderId="13" xfId="0" applyNumberFormat="1" applyFont="1" applyFill="1" applyBorder="1"/>
    <xf numFmtId="10" fontId="0" fillId="4" borderId="17" xfId="0" applyNumberFormat="1" applyFont="1" applyFill="1" applyBorder="1"/>
    <xf numFmtId="10" fontId="0" fillId="4" borderId="10" xfId="0" applyNumberFormat="1" applyFont="1" applyFill="1" applyBorder="1"/>
    <xf numFmtId="164" fontId="2" fillId="4" borderId="3" xfId="0" applyNumberFormat="1" applyFont="1" applyFill="1" applyBorder="1"/>
    <xf numFmtId="164" fontId="0" fillId="4" borderId="3" xfId="0" applyNumberFormat="1" applyFont="1" applyFill="1" applyBorder="1"/>
    <xf numFmtId="5" fontId="0" fillId="4" borderId="33" xfId="0" applyNumberFormat="1" applyFont="1" applyFill="1" applyBorder="1"/>
    <xf numFmtId="165" fontId="0" fillId="6" borderId="3" xfId="0" applyNumberFormat="1" applyFont="1" applyFill="1" applyBorder="1"/>
    <xf numFmtId="165" fontId="0" fillId="8" borderId="3" xfId="0" applyNumberFormat="1" applyFont="1" applyFill="1" applyBorder="1"/>
    <xf numFmtId="165" fontId="0" fillId="4" borderId="17" xfId="0" applyNumberFormat="1" applyFont="1" applyFill="1" applyBorder="1"/>
    <xf numFmtId="5" fontId="0" fillId="4" borderId="3" xfId="0" applyNumberFormat="1" applyFont="1" applyFill="1" applyBorder="1"/>
    <xf numFmtId="10" fontId="0" fillId="4" borderId="3" xfId="0" applyNumberFormat="1" applyFont="1" applyFill="1" applyBorder="1"/>
    <xf numFmtId="7" fontId="0" fillId="2" borderId="34" xfId="0" applyNumberFormat="1" applyFont="1" applyFill="1" applyBorder="1"/>
    <xf numFmtId="5" fontId="0" fillId="0" borderId="3" xfId="0" applyNumberFormat="1" applyFont="1" applyBorder="1"/>
    <xf numFmtId="10" fontId="0" fillId="0" borderId="19" xfId="0" applyNumberFormat="1" applyFont="1" applyBorder="1"/>
    <xf numFmtId="9" fontId="0" fillId="4" borderId="3" xfId="0" applyNumberFormat="1" applyFont="1" applyFill="1" applyBorder="1"/>
    <xf numFmtId="9" fontId="2" fillId="0" borderId="8" xfId="0" applyNumberFormat="1" applyFont="1" applyBorder="1" applyAlignment="1">
      <alignment horizontal="center"/>
    </xf>
    <xf numFmtId="0" fontId="2" fillId="0" borderId="8" xfId="0" applyFont="1" applyBorder="1" applyAlignment="1">
      <alignment horizontal="center"/>
    </xf>
    <xf numFmtId="0" fontId="2" fillId="0" borderId="8" xfId="0" applyFont="1" applyBorder="1" applyAlignment="1">
      <alignment vertical="top" wrapText="1"/>
    </xf>
    <xf numFmtId="0" fontId="5" fillId="0" borderId="8" xfId="0" applyFont="1" applyBorder="1" applyAlignment="1">
      <alignment horizontal="left"/>
    </xf>
    <xf numFmtId="7" fontId="6" fillId="0" borderId="8" xfId="0" applyNumberFormat="1" applyFont="1" applyBorder="1"/>
    <xf numFmtId="10" fontId="6" fillId="0" borderId="8" xfId="0" applyNumberFormat="1" applyFont="1" applyBorder="1"/>
    <xf numFmtId="0" fontId="0" fillId="0" borderId="8" xfId="0" applyFont="1" applyBorder="1" applyAlignment="1">
      <alignment horizontal="center"/>
    </xf>
    <xf numFmtId="164" fontId="0" fillId="3" borderId="13" xfId="0" applyNumberFormat="1" applyFont="1" applyFill="1" applyBorder="1"/>
    <xf numFmtId="0" fontId="0" fillId="0" borderId="3" xfId="0" applyFont="1" applyBorder="1" applyAlignment="1">
      <alignment horizontal="center"/>
    </xf>
    <xf numFmtId="165" fontId="0" fillId="0" borderId="0" xfId="0" applyNumberFormat="1" applyFont="1"/>
    <xf numFmtId="0" fontId="2" fillId="0" borderId="3" xfId="0" applyFont="1" applyBorder="1" applyAlignment="1">
      <alignment vertical="top" wrapText="1"/>
    </xf>
    <xf numFmtId="7" fontId="0" fillId="2" borderId="3" xfId="0" applyNumberFormat="1" applyFont="1" applyFill="1" applyBorder="1"/>
    <xf numFmtId="10" fontId="0" fillId="0" borderId="3" xfId="0" applyNumberFormat="1" applyFont="1" applyBorder="1"/>
    <xf numFmtId="5" fontId="0" fillId="0" borderId="11" xfId="0" applyNumberFormat="1" applyFont="1" applyBorder="1"/>
    <xf numFmtId="0" fontId="0" fillId="0" borderId="8" xfId="0" applyFont="1" applyBorder="1"/>
    <xf numFmtId="164" fontId="2" fillId="0" borderId="6" xfId="0" applyNumberFormat="1" applyFont="1" applyBorder="1"/>
    <xf numFmtId="7" fontId="6" fillId="0" borderId="6" xfId="0" applyNumberFormat="1" applyFont="1" applyBorder="1" applyAlignment="1">
      <alignment horizontal="right"/>
    </xf>
    <xf numFmtId="10" fontId="6" fillId="0" borderId="6" xfId="0" applyNumberFormat="1" applyFont="1" applyBorder="1" applyAlignment="1">
      <alignment horizontal="right"/>
    </xf>
    <xf numFmtId="5" fontId="2" fillId="0" borderId="35" xfId="0" applyNumberFormat="1" applyFont="1" applyBorder="1"/>
    <xf numFmtId="0" fontId="0" fillId="0" borderId="36" xfId="0" applyFont="1" applyBorder="1"/>
    <xf numFmtId="0" fontId="7" fillId="0" borderId="8" xfId="0" applyFont="1" applyBorder="1" applyAlignment="1">
      <alignment vertical="top" wrapText="1"/>
    </xf>
    <xf numFmtId="0" fontId="0" fillId="0" borderId="10" xfId="0" applyFont="1" applyBorder="1"/>
    <xf numFmtId="164" fontId="0" fillId="0" borderId="6" xfId="0" applyNumberFormat="1" applyFont="1" applyBorder="1"/>
    <xf numFmtId="5" fontId="0" fillId="0" borderId="1" xfId="0" applyNumberFormat="1" applyFont="1" applyBorder="1"/>
    <xf numFmtId="7" fontId="0" fillId="0" borderId="10" xfId="0" applyNumberFormat="1" applyFont="1" applyBorder="1"/>
    <xf numFmtId="164" fontId="2" fillId="0" borderId="3" xfId="0" applyNumberFormat="1" applyFont="1" applyBorder="1"/>
    <xf numFmtId="164" fontId="0" fillId="0" borderId="3" xfId="0" applyNumberFormat="1" applyFont="1" applyBorder="1"/>
    <xf numFmtId="5" fontId="0" fillId="0" borderId="26" xfId="0" applyNumberFormat="1" applyFont="1" applyBorder="1"/>
    <xf numFmtId="0" fontId="0" fillId="0" borderId="28" xfId="0" applyFont="1" applyBorder="1"/>
    <xf numFmtId="0" fontId="0" fillId="7" borderId="29" xfId="0" applyFont="1" applyFill="1" applyBorder="1"/>
    <xf numFmtId="0" fontId="0" fillId="7" borderId="17" xfId="0" applyFont="1" applyFill="1" applyBorder="1"/>
    <xf numFmtId="0" fontId="6" fillId="0" borderId="0" xfId="0" applyFont="1" applyAlignment="1">
      <alignment horizontal="right"/>
    </xf>
    <xf numFmtId="7" fontId="6" fillId="0" borderId="0" xfId="0" applyNumberFormat="1" applyFont="1"/>
    <xf numFmtId="0" fontId="0" fillId="11" borderId="17" xfId="0" applyFont="1" applyFill="1" applyBorder="1"/>
    <xf numFmtId="0" fontId="1" fillId="11" borderId="17" xfId="0" applyFont="1" applyFill="1" applyBorder="1"/>
    <xf numFmtId="164" fontId="0" fillId="11" borderId="17" xfId="0" applyNumberFormat="1" applyFont="1" applyFill="1" applyBorder="1"/>
    <xf numFmtId="9" fontId="0" fillId="0" borderId="0" xfId="0" applyNumberFormat="1" applyFont="1"/>
    <xf numFmtId="5" fontId="0" fillId="0" borderId="0" xfId="0" applyNumberFormat="1" applyFont="1"/>
    <xf numFmtId="164" fontId="0" fillId="0" borderId="10" xfId="0" applyNumberFormat="1" applyFont="1" applyBorder="1"/>
    <xf numFmtId="0" fontId="8" fillId="0" borderId="0" xfId="0" applyFont="1"/>
    <xf numFmtId="0" fontId="2" fillId="0" borderId="11" xfId="0" applyFont="1" applyBorder="1"/>
    <xf numFmtId="0" fontId="2" fillId="0" borderId="11" xfId="0" applyFont="1" applyBorder="1" applyAlignment="1">
      <alignment wrapText="1"/>
    </xf>
    <xf numFmtId="0" fontId="0" fillId="7" borderId="18" xfId="0" applyFont="1" applyFill="1" applyBorder="1" applyAlignment="1">
      <alignment wrapText="1"/>
    </xf>
    <xf numFmtId="0" fontId="0" fillId="0" borderId="11" xfId="0" applyFont="1" applyBorder="1" applyAlignment="1">
      <alignment wrapText="1"/>
    </xf>
    <xf numFmtId="0" fontId="0" fillId="7" borderId="3" xfId="0" applyFont="1" applyFill="1" applyBorder="1" applyAlignment="1">
      <alignment wrapText="1"/>
    </xf>
    <xf numFmtId="165" fontId="0" fillId="0" borderId="3" xfId="0" applyNumberFormat="1" applyFont="1" applyBorder="1" applyAlignment="1">
      <alignment wrapText="1"/>
    </xf>
    <xf numFmtId="165" fontId="0" fillId="0" borderId="10" xfId="0" applyNumberFormat="1" applyFont="1" applyBorder="1"/>
    <xf numFmtId="165" fontId="0" fillId="9" borderId="3" xfId="0" applyNumberFormat="1" applyFont="1" applyFill="1" applyBorder="1" applyAlignment="1">
      <alignment wrapText="1"/>
    </xf>
    <xf numFmtId="10" fontId="0" fillId="7" borderId="10" xfId="0" applyNumberFormat="1" applyFont="1" applyFill="1" applyBorder="1"/>
    <xf numFmtId="165" fontId="0" fillId="0" borderId="3" xfId="0" applyNumberFormat="1" applyFont="1" applyBorder="1"/>
    <xf numFmtId="165" fontId="0" fillId="7" borderId="10" xfId="0" applyNumberFormat="1" applyFont="1" applyFill="1" applyBorder="1"/>
    <xf numFmtId="5" fontId="0" fillId="0" borderId="7" xfId="0" applyNumberFormat="1" applyFont="1" applyBorder="1"/>
    <xf numFmtId="0" fontId="2" fillId="10" borderId="10" xfId="0" applyFont="1" applyFill="1" applyBorder="1" applyAlignment="1">
      <alignment horizontal="center" vertical="top" wrapText="1"/>
    </xf>
    <xf numFmtId="10" fontId="0" fillId="7" borderId="7" xfId="0" applyNumberFormat="1" applyFont="1" applyFill="1" applyBorder="1"/>
    <xf numFmtId="10" fontId="0" fillId="10" borderId="10" xfId="0" applyNumberFormat="1" applyFont="1" applyFill="1" applyBorder="1"/>
    <xf numFmtId="165" fontId="0" fillId="7" borderId="7" xfId="0" applyNumberFormat="1" applyFont="1" applyFill="1" applyBorder="1"/>
    <xf numFmtId="165" fontId="0" fillId="0" borderId="7" xfId="0" applyNumberFormat="1" applyFont="1" applyBorder="1"/>
    <xf numFmtId="165" fontId="0" fillId="9" borderId="7" xfId="0" applyNumberFormat="1" applyFont="1" applyFill="1" applyBorder="1"/>
    <xf numFmtId="7" fontId="0" fillId="10" borderId="10" xfId="0" applyNumberFormat="1" applyFont="1" applyFill="1" applyBorder="1"/>
    <xf numFmtId="0" fontId="0" fillId="10" borderId="10" xfId="0" applyFont="1" applyFill="1" applyBorder="1"/>
    <xf numFmtId="165" fontId="0" fillId="9" borderId="10" xfId="0" applyNumberFormat="1" applyFont="1" applyFill="1" applyBorder="1"/>
    <xf numFmtId="0" fontId="2" fillId="10" borderId="10" xfId="0" applyFont="1" applyFill="1" applyBorder="1" applyAlignment="1">
      <alignment vertical="top" wrapText="1"/>
    </xf>
    <xf numFmtId="5" fontId="0" fillId="10" borderId="10" xfId="0" applyNumberFormat="1" applyFont="1" applyFill="1" applyBorder="1"/>
    <xf numFmtId="166" fontId="0" fillId="0" borderId="10" xfId="0" applyNumberFormat="1" applyFont="1" applyBorder="1"/>
    <xf numFmtId="10" fontId="0" fillId="7" borderId="13" xfId="0" applyNumberFormat="1" applyFont="1" applyFill="1" applyBorder="1"/>
    <xf numFmtId="0" fontId="9" fillId="0" borderId="0" xfId="0" applyFont="1"/>
    <xf numFmtId="165" fontId="0" fillId="7" borderId="13" xfId="0" applyNumberFormat="1" applyFont="1" applyFill="1" applyBorder="1"/>
    <xf numFmtId="165" fontId="0" fillId="0" borderId="11" xfId="0" applyNumberFormat="1" applyFont="1" applyBorder="1"/>
    <xf numFmtId="165" fontId="0" fillId="9" borderId="13" xfId="0" applyNumberFormat="1" applyFont="1" applyFill="1" applyBorder="1"/>
    <xf numFmtId="0" fontId="0" fillId="0" borderId="10" xfId="0" applyFont="1" applyBorder="1" applyAlignment="1">
      <alignment horizontal="center"/>
    </xf>
    <xf numFmtId="7" fontId="0" fillId="0" borderId="3" xfId="0" applyNumberFormat="1" applyFont="1" applyBorder="1"/>
    <xf numFmtId="165" fontId="0" fillId="0" borderId="8" xfId="0" applyNumberFormat="1" applyFont="1" applyBorder="1"/>
    <xf numFmtId="10" fontId="0" fillId="7" borderId="9" xfId="0" applyNumberFormat="1" applyFont="1" applyFill="1" applyBorder="1"/>
    <xf numFmtId="165" fontId="0" fillId="7" borderId="9" xfId="0" applyNumberFormat="1" applyFont="1" applyFill="1" applyBorder="1"/>
    <xf numFmtId="7" fontId="0" fillId="0" borderId="8" xfId="0" applyNumberFormat="1" applyFont="1" applyBorder="1"/>
    <xf numFmtId="165" fontId="0" fillId="9" borderId="9" xfId="0" applyNumberFormat="1" applyFont="1" applyFill="1" applyBorder="1"/>
    <xf numFmtId="10" fontId="0" fillId="7" borderId="39" xfId="0" applyNumberFormat="1" applyFont="1" applyFill="1" applyBorder="1"/>
    <xf numFmtId="0" fontId="0" fillId="0" borderId="11" xfId="0" applyFont="1" applyBorder="1" applyAlignment="1">
      <alignment horizontal="center"/>
    </xf>
    <xf numFmtId="0" fontId="0" fillId="0" borderId="6" xfId="0" applyFont="1" applyBorder="1" applyAlignment="1">
      <alignment horizontal="left"/>
    </xf>
    <xf numFmtId="10" fontId="0" fillId="0" borderId="40" xfId="0" applyNumberFormat="1" applyFont="1" applyBorder="1"/>
    <xf numFmtId="10" fontId="0" fillId="7" borderId="3" xfId="0" applyNumberFormat="1" applyFont="1" applyFill="1" applyBorder="1"/>
    <xf numFmtId="165" fontId="0" fillId="7" borderId="3" xfId="0" applyNumberFormat="1" applyFont="1" applyFill="1" applyBorder="1"/>
    <xf numFmtId="0" fontId="2" fillId="0" borderId="3" xfId="0" applyFont="1" applyBorder="1" applyAlignment="1">
      <alignment horizontal="center"/>
    </xf>
    <xf numFmtId="0" fontId="7" fillId="0" borderId="3" xfId="0" applyFont="1" applyBorder="1" applyAlignment="1">
      <alignment vertical="top" wrapText="1"/>
    </xf>
    <xf numFmtId="165" fontId="0" fillId="9" borderId="3" xfId="0" applyNumberFormat="1" applyFont="1" applyFill="1" applyBorder="1"/>
    <xf numFmtId="0" fontId="0" fillId="7" borderId="27" xfId="0" applyFont="1" applyFill="1" applyBorder="1"/>
    <xf numFmtId="165" fontId="0" fillId="7" borderId="41" xfId="0" applyNumberFormat="1" applyFont="1" applyFill="1" applyBorder="1"/>
    <xf numFmtId="5" fontId="6" fillId="0" borderId="8" xfId="0" applyNumberFormat="1" applyFont="1" applyBorder="1"/>
    <xf numFmtId="167" fontId="0" fillId="0" borderId="3" xfId="0" applyNumberFormat="1" applyFont="1" applyBorder="1"/>
    <xf numFmtId="0" fontId="10" fillId="2" borderId="12" xfId="0" applyFont="1" applyFill="1" applyBorder="1" applyAlignment="1">
      <alignment horizontal="right" vertical="top" wrapText="1"/>
    </xf>
    <xf numFmtId="44" fontId="0" fillId="12" borderId="17" xfId="0" applyNumberFormat="1" applyFont="1" applyFill="1" applyBorder="1"/>
    <xf numFmtId="168" fontId="0" fillId="2" borderId="17" xfId="0" applyNumberFormat="1" applyFont="1" applyFill="1" applyBorder="1"/>
    <xf numFmtId="0" fontId="2" fillId="0" borderId="0" xfId="0" applyFont="1" applyAlignment="1">
      <alignment horizontal="right" vertical="top" wrapText="1"/>
    </xf>
    <xf numFmtId="7" fontId="0" fillId="13" borderId="17" xfId="0" applyNumberFormat="1" applyFont="1" applyFill="1" applyBorder="1"/>
    <xf numFmtId="0" fontId="2" fillId="2" borderId="17" xfId="0" applyFont="1" applyFill="1" applyBorder="1" applyAlignment="1">
      <alignment vertical="top" wrapText="1"/>
    </xf>
    <xf numFmtId="9" fontId="0" fillId="2" borderId="17" xfId="0" applyNumberFormat="1" applyFont="1" applyFill="1" applyBorder="1"/>
    <xf numFmtId="42" fontId="0" fillId="0" borderId="0" xfId="0" applyNumberFormat="1" applyFont="1"/>
    <xf numFmtId="44" fontId="0" fillId="2" borderId="17" xfId="0" applyNumberFormat="1" applyFont="1" applyFill="1" applyBorder="1"/>
    <xf numFmtId="0" fontId="1" fillId="14" borderId="17" xfId="0" applyFont="1" applyFill="1" applyBorder="1"/>
    <xf numFmtId="0" fontId="0" fillId="14" borderId="17" xfId="0" applyFont="1" applyFill="1" applyBorder="1"/>
    <xf numFmtId="0" fontId="0" fillId="15" borderId="17" xfId="0" applyFont="1" applyFill="1" applyBorder="1"/>
    <xf numFmtId="37" fontId="0" fillId="15" borderId="17" xfId="0" applyNumberFormat="1" applyFont="1" applyFill="1" applyBorder="1"/>
    <xf numFmtId="7" fontId="0" fillId="15" borderId="10" xfId="0" applyNumberFormat="1" applyFont="1" applyFill="1" applyBorder="1"/>
    <xf numFmtId="165" fontId="0" fillId="15" borderId="17" xfId="0" applyNumberFormat="1" applyFont="1" applyFill="1" applyBorder="1"/>
    <xf numFmtId="44" fontId="0" fillId="15" borderId="17" xfId="0" applyNumberFormat="1" applyFont="1" applyFill="1" applyBorder="1"/>
    <xf numFmtId="164" fontId="0" fillId="0" borderId="3" xfId="0" applyNumberFormat="1" applyFont="1" applyBorder="1" applyAlignment="1">
      <alignment wrapText="1"/>
    </xf>
    <xf numFmtId="0" fontId="11" fillId="0" borderId="0" xfId="0" applyFont="1"/>
    <xf numFmtId="10" fontId="0" fillId="0" borderId="7" xfId="0" applyNumberFormat="1" applyFont="1" applyBorder="1"/>
    <xf numFmtId="10" fontId="0" fillId="0" borderId="11" xfId="0" applyNumberFormat="1" applyFont="1" applyBorder="1"/>
    <xf numFmtId="165" fontId="0" fillId="10" borderId="9" xfId="0" applyNumberFormat="1" applyFont="1" applyFill="1" applyBorder="1"/>
    <xf numFmtId="169" fontId="0" fillId="0" borderId="0" xfId="0" applyNumberFormat="1" applyFont="1"/>
    <xf numFmtId="10" fontId="0" fillId="0" borderId="3" xfId="0" applyNumberFormat="1" applyFont="1" applyBorder="1" applyAlignment="1">
      <alignment horizontal="center"/>
    </xf>
    <xf numFmtId="10" fontId="0" fillId="0" borderId="10" xfId="0" applyNumberFormat="1" applyFont="1" applyBorder="1" applyAlignment="1">
      <alignment horizontal="center"/>
    </xf>
    <xf numFmtId="10" fontId="0" fillId="0" borderId="11" xfId="0" applyNumberFormat="1" applyFont="1" applyBorder="1" applyAlignment="1">
      <alignment horizontal="center"/>
    </xf>
    <xf numFmtId="9" fontId="2" fillId="0" borderId="10" xfId="0" applyNumberFormat="1" applyFont="1" applyBorder="1" applyAlignment="1">
      <alignment horizontal="center"/>
    </xf>
    <xf numFmtId="0" fontId="2" fillId="0" borderId="10" xfId="0" applyFont="1" applyBorder="1" applyAlignment="1">
      <alignment horizontal="center"/>
    </xf>
    <xf numFmtId="0" fontId="7" fillId="0" borderId="8" xfId="0" applyFont="1" applyBorder="1" applyAlignment="1">
      <alignment horizontal="left" vertical="top" wrapText="1"/>
    </xf>
    <xf numFmtId="165" fontId="6" fillId="0" borderId="8" xfId="0" applyNumberFormat="1" applyFont="1" applyBorder="1"/>
    <xf numFmtId="164" fontId="0" fillId="0" borderId="19" xfId="0" applyNumberFormat="1" applyFont="1" applyBorder="1"/>
    <xf numFmtId="10" fontId="0" fillId="0" borderId="5" xfId="0" applyNumberFormat="1" applyFont="1" applyBorder="1"/>
    <xf numFmtId="0" fontId="0" fillId="0" borderId="3" xfId="0" applyFont="1" applyBorder="1" applyAlignment="1">
      <alignment horizontal="left"/>
    </xf>
    <xf numFmtId="0" fontId="6" fillId="0" borderId="8" xfId="0" applyFont="1" applyBorder="1" applyAlignment="1">
      <alignment horizontal="left"/>
    </xf>
    <xf numFmtId="9" fontId="6" fillId="0" borderId="1" xfId="0" applyNumberFormat="1" applyFont="1" applyBorder="1"/>
    <xf numFmtId="0" fontId="1" fillId="2" borderId="17" xfId="0" applyFont="1" applyFill="1" applyBorder="1" applyAlignment="1">
      <alignment horizontal="right"/>
    </xf>
    <xf numFmtId="0" fontId="0" fillId="2" borderId="44" xfId="0" applyFont="1" applyFill="1" applyBorder="1" applyAlignment="1">
      <alignment horizontal="right"/>
    </xf>
    <xf numFmtId="0" fontId="0" fillId="2" borderId="45" xfId="0" applyFont="1" applyFill="1" applyBorder="1"/>
    <xf numFmtId="0" fontId="0" fillId="2" borderId="48" xfId="0" applyFont="1" applyFill="1" applyBorder="1" applyAlignment="1">
      <alignment horizontal="right"/>
    </xf>
    <xf numFmtId="165" fontId="0" fillId="2" borderId="49" xfId="0" applyNumberFormat="1" applyFont="1" applyFill="1" applyBorder="1"/>
    <xf numFmtId="44" fontId="0" fillId="0" borderId="0" xfId="0" applyNumberFormat="1" applyFont="1"/>
    <xf numFmtId="168" fontId="0" fillId="0" borderId="0" xfId="0" applyNumberFormat="1" applyFont="1"/>
    <xf numFmtId="168" fontId="0" fillId="0" borderId="0" xfId="0" applyNumberFormat="1" applyFont="1" applyAlignment="1">
      <alignment horizontal="right"/>
    </xf>
    <xf numFmtId="0" fontId="2" fillId="2" borderId="48" xfId="0" applyFont="1" applyFill="1" applyBorder="1" applyAlignment="1">
      <alignment horizontal="right" vertical="top" wrapText="1"/>
    </xf>
    <xf numFmtId="165" fontId="12" fillId="2" borderId="49" xfId="0" applyNumberFormat="1" applyFont="1" applyFill="1" applyBorder="1"/>
    <xf numFmtId="168" fontId="3" fillId="0" borderId="0" xfId="0" applyNumberFormat="1" applyFont="1"/>
    <xf numFmtId="5" fontId="0" fillId="2" borderId="49" xfId="0" applyNumberFormat="1" applyFont="1" applyFill="1" applyBorder="1"/>
    <xf numFmtId="0" fontId="0" fillId="2" borderId="48" xfId="0" applyFont="1" applyFill="1" applyBorder="1"/>
    <xf numFmtId="0" fontId="0" fillId="2" borderId="49" xfId="0" applyFont="1" applyFill="1" applyBorder="1"/>
    <xf numFmtId="0" fontId="6" fillId="2" borderId="48" xfId="0" applyFont="1" applyFill="1" applyBorder="1" applyAlignment="1">
      <alignment horizontal="right"/>
    </xf>
    <xf numFmtId="5" fontId="6" fillId="2" borderId="49" xfId="0" applyNumberFormat="1" applyFont="1" applyFill="1" applyBorder="1"/>
    <xf numFmtId="165" fontId="6" fillId="0" borderId="0" xfId="0" applyNumberFormat="1" applyFont="1"/>
    <xf numFmtId="0" fontId="0" fillId="3" borderId="17" xfId="0" applyFont="1" applyFill="1" applyBorder="1"/>
    <xf numFmtId="0" fontId="0" fillId="3" borderId="44" xfId="0" applyFont="1" applyFill="1" applyBorder="1" applyAlignment="1">
      <alignment horizontal="right"/>
    </xf>
    <xf numFmtId="0" fontId="0" fillId="3" borderId="45" xfId="0" applyFont="1" applyFill="1" applyBorder="1"/>
    <xf numFmtId="0" fontId="0" fillId="3" borderId="48" xfId="0" applyFont="1" applyFill="1" applyBorder="1" applyAlignment="1">
      <alignment horizontal="right"/>
    </xf>
    <xf numFmtId="165" fontId="0" fillId="3" borderId="49" xfId="0" applyNumberFormat="1" applyFont="1" applyFill="1" applyBorder="1"/>
    <xf numFmtId="0" fontId="2" fillId="2" borderId="48" xfId="0" applyFont="1" applyFill="1" applyBorder="1" applyAlignment="1">
      <alignment horizontal="right" vertical="top"/>
    </xf>
    <xf numFmtId="0" fontId="2" fillId="3" borderId="48" xfId="0" applyFont="1" applyFill="1" applyBorder="1" applyAlignment="1">
      <alignment horizontal="right" vertical="top" wrapText="1"/>
    </xf>
    <xf numFmtId="165" fontId="13" fillId="3" borderId="49" xfId="0" applyNumberFormat="1" applyFont="1" applyFill="1" applyBorder="1"/>
    <xf numFmtId="165" fontId="0" fillId="3" borderId="17" xfId="0" applyNumberFormat="1" applyFont="1" applyFill="1" applyBorder="1"/>
    <xf numFmtId="5" fontId="0" fillId="3" borderId="49" xfId="0" applyNumberFormat="1" applyFont="1" applyFill="1" applyBorder="1"/>
    <xf numFmtId="9" fontId="0" fillId="3" borderId="17" xfId="0" applyNumberFormat="1" applyFont="1" applyFill="1" applyBorder="1"/>
    <xf numFmtId="164" fontId="0" fillId="3" borderId="17" xfId="0" applyNumberFormat="1" applyFont="1" applyFill="1" applyBorder="1"/>
    <xf numFmtId="5" fontId="0" fillId="3" borderId="17" xfId="0" applyNumberFormat="1" applyFont="1" applyFill="1" applyBorder="1"/>
    <xf numFmtId="0" fontId="0" fillId="2" borderId="58" xfId="0" applyFont="1" applyFill="1" applyBorder="1" applyAlignment="1">
      <alignment horizontal="left" wrapText="1"/>
    </xf>
    <xf numFmtId="10" fontId="0" fillId="3" borderId="17" xfId="0" applyNumberFormat="1" applyFont="1" applyFill="1" applyBorder="1"/>
    <xf numFmtId="0" fontId="0" fillId="2" borderId="59" xfId="0" applyFont="1" applyFill="1" applyBorder="1" applyAlignment="1">
      <alignment horizontal="left" wrapText="1"/>
    </xf>
    <xf numFmtId="0" fontId="0" fillId="3" borderId="48" xfId="0" applyFont="1" applyFill="1" applyBorder="1"/>
    <xf numFmtId="0" fontId="0" fillId="2" borderId="44" xfId="0" applyFont="1" applyFill="1" applyBorder="1"/>
    <xf numFmtId="0" fontId="0" fillId="2" borderId="48" xfId="0" applyFont="1" applyFill="1" applyBorder="1" applyAlignment="1">
      <alignment wrapText="1"/>
    </xf>
    <xf numFmtId="0" fontId="0" fillId="3" borderId="49" xfId="0" applyFont="1" applyFill="1" applyBorder="1"/>
    <xf numFmtId="0" fontId="0" fillId="2" borderId="58" xfId="0" applyFont="1" applyFill="1" applyBorder="1"/>
    <xf numFmtId="0" fontId="6" fillId="3" borderId="48" xfId="0" applyFont="1" applyFill="1" applyBorder="1" applyAlignment="1">
      <alignment horizontal="right"/>
    </xf>
    <xf numFmtId="165" fontId="0" fillId="2" borderId="59" xfId="0" applyNumberFormat="1" applyFont="1" applyFill="1" applyBorder="1"/>
    <xf numFmtId="5" fontId="6" fillId="3" borderId="49" xfId="0" applyNumberFormat="1" applyFont="1" applyFill="1" applyBorder="1"/>
    <xf numFmtId="165" fontId="6" fillId="3" borderId="17" xfId="0" applyNumberFormat="1" applyFont="1" applyFill="1" applyBorder="1"/>
    <xf numFmtId="0" fontId="2" fillId="3" borderId="48" xfId="0" applyFont="1" applyFill="1" applyBorder="1" applyAlignment="1">
      <alignment horizontal="right" vertical="top"/>
    </xf>
    <xf numFmtId="0" fontId="0" fillId="3" borderId="58" xfId="0" applyFont="1" applyFill="1" applyBorder="1" applyAlignment="1">
      <alignment horizontal="left" wrapText="1"/>
    </xf>
    <xf numFmtId="0" fontId="0" fillId="3" borderId="59" xfId="0" applyFont="1" applyFill="1" applyBorder="1" applyAlignment="1">
      <alignment horizontal="left" wrapText="1"/>
    </xf>
    <xf numFmtId="0" fontId="0" fillId="3" borderId="44" xfId="0" applyFont="1" applyFill="1" applyBorder="1"/>
    <xf numFmtId="0" fontId="0" fillId="3" borderId="48" xfId="0" applyFont="1" applyFill="1" applyBorder="1" applyAlignment="1">
      <alignment wrapText="1"/>
    </xf>
    <xf numFmtId="0" fontId="0" fillId="3" borderId="58" xfId="0" applyFont="1" applyFill="1" applyBorder="1"/>
    <xf numFmtId="165" fontId="0" fillId="3" borderId="59" xfId="0" applyNumberFormat="1" applyFont="1" applyFill="1" applyBorder="1"/>
    <xf numFmtId="0" fontId="0" fillId="0" borderId="0" xfId="0" applyFont="1" applyAlignment="1"/>
    <xf numFmtId="0" fontId="3" fillId="0" borderId="19" xfId="0" applyFont="1" applyBorder="1"/>
    <xf numFmtId="9" fontId="0" fillId="0" borderId="6" xfId="0" applyNumberFormat="1" applyFont="1" applyBorder="1" applyAlignment="1">
      <alignment horizontal="center"/>
    </xf>
    <xf numFmtId="9" fontId="2" fillId="0" borderId="6" xfId="0" applyNumberFormat="1" applyFont="1" applyBorder="1" applyAlignment="1">
      <alignment horizontal="center" vertical="center"/>
    </xf>
    <xf numFmtId="0" fontId="3" fillId="0" borderId="6" xfId="0" applyFont="1" applyBorder="1"/>
    <xf numFmtId="0" fontId="2" fillId="0" borderId="6" xfId="0" applyFont="1" applyBorder="1" applyAlignment="1">
      <alignment horizontal="center" vertical="center"/>
    </xf>
    <xf numFmtId="0" fontId="2" fillId="0" borderId="11" xfId="0" applyFont="1" applyBorder="1" applyAlignment="1">
      <alignment horizontal="center" vertical="center"/>
    </xf>
    <xf numFmtId="164" fontId="0" fillId="0" borderId="4" xfId="0" applyNumberFormat="1" applyFont="1" applyBorder="1" applyAlignment="1">
      <alignment horizontal="center"/>
    </xf>
    <xf numFmtId="0" fontId="3" fillId="0" borderId="4" xfId="0" applyFont="1" applyBorder="1"/>
    <xf numFmtId="0" fontId="3" fillId="0" borderId="5" xfId="0" applyFont="1" applyBorder="1"/>
    <xf numFmtId="0" fontId="3" fillId="0" borderId="24" xfId="0" applyFont="1" applyBorder="1"/>
    <xf numFmtId="0" fontId="3" fillId="0" borderId="25" xfId="0" applyFont="1" applyBorder="1"/>
    <xf numFmtId="0" fontId="2" fillId="0" borderId="20" xfId="0" applyFont="1" applyBorder="1" applyAlignment="1">
      <alignment horizontal="center" vertical="center"/>
    </xf>
    <xf numFmtId="0" fontId="3" fillId="0" borderId="21" xfId="0" applyFont="1" applyBorder="1"/>
    <xf numFmtId="0" fontId="3" fillId="0" borderId="22" xfId="0" applyFont="1" applyBorder="1"/>
    <xf numFmtId="0" fontId="0" fillId="5" borderId="23" xfId="0" applyFont="1" applyFill="1" applyBorder="1" applyAlignment="1">
      <alignment horizontal="right"/>
    </xf>
    <xf numFmtId="44" fontId="0" fillId="2" borderId="23" xfId="0" applyNumberFormat="1" applyFont="1" applyFill="1" applyBorder="1" applyAlignment="1">
      <alignment horizontal="center"/>
    </xf>
    <xf numFmtId="0" fontId="3" fillId="0" borderId="60" xfId="0" applyFont="1" applyBorder="1"/>
    <xf numFmtId="0" fontId="2" fillId="16" borderId="8" xfId="0" applyFont="1" applyFill="1" applyBorder="1" applyAlignment="1">
      <alignment horizontal="center" vertical="top" wrapText="1"/>
    </xf>
    <xf numFmtId="0" fontId="2" fillId="16" borderId="7" xfId="0" applyFont="1" applyFill="1" applyBorder="1" applyAlignment="1">
      <alignment vertical="top" wrapText="1"/>
    </xf>
    <xf numFmtId="165" fontId="0" fillId="16" borderId="7" xfId="0" applyNumberFormat="1" applyFont="1" applyFill="1" applyBorder="1"/>
    <xf numFmtId="10" fontId="0" fillId="16" borderId="7" xfId="0" applyNumberFormat="1" applyFont="1" applyFill="1" applyBorder="1"/>
    <xf numFmtId="0" fontId="7" fillId="16" borderId="8" xfId="0" applyFont="1" applyFill="1" applyBorder="1" applyAlignment="1">
      <alignment horizontal="left" vertical="top" wrapText="1"/>
    </xf>
    <xf numFmtId="165" fontId="6" fillId="16" borderId="8" xfId="0" applyNumberFormat="1" applyFont="1" applyFill="1" applyBorder="1"/>
    <xf numFmtId="10" fontId="6" fillId="16" borderId="8" xfId="0" applyNumberFormat="1" applyFont="1" applyFill="1" applyBorder="1"/>
    <xf numFmtId="0" fontId="2" fillId="16" borderId="8" xfId="0" applyFont="1" applyFill="1" applyBorder="1" applyAlignment="1">
      <alignment vertical="top" wrapText="1"/>
    </xf>
    <xf numFmtId="165" fontId="0" fillId="16" borderId="8" xfId="0" applyNumberFormat="1" applyFont="1" applyFill="1" applyBorder="1"/>
    <xf numFmtId="10" fontId="0" fillId="16" borderId="8" xfId="0" applyNumberFormat="1" applyFont="1" applyFill="1" applyBorder="1"/>
    <xf numFmtId="165" fontId="0" fillId="16" borderId="3" xfId="0" applyNumberFormat="1" applyFont="1" applyFill="1" applyBorder="1"/>
    <xf numFmtId="0" fontId="2" fillId="0" borderId="8" xfId="0" applyFont="1" applyFill="1" applyBorder="1" applyAlignment="1">
      <alignment vertical="top" wrapText="1"/>
    </xf>
    <xf numFmtId="0" fontId="0" fillId="0" borderId="0" xfId="0" applyFont="1" applyAlignment="1">
      <alignment horizontal="left"/>
    </xf>
    <xf numFmtId="0" fontId="3" fillId="0" borderId="19" xfId="0" applyFont="1" applyBorder="1" applyAlignment="1">
      <alignment wrapText="1"/>
    </xf>
    <xf numFmtId="0" fontId="0" fillId="0" borderId="37" xfId="0" applyFont="1" applyBorder="1" applyAlignment="1">
      <alignment horizontal="center"/>
    </xf>
    <xf numFmtId="0" fontId="0" fillId="0" borderId="34" xfId="0" applyFont="1" applyBorder="1" applyAlignment="1">
      <alignment horizontal="center"/>
    </xf>
    <xf numFmtId="0" fontId="3" fillId="0" borderId="2" xfId="0" applyFont="1" applyBorder="1"/>
    <xf numFmtId="9" fontId="2" fillId="0" borderId="12" xfId="0" applyNumberFormat="1" applyFont="1" applyBorder="1" applyAlignment="1">
      <alignment horizontal="center" vertical="center"/>
    </xf>
    <xf numFmtId="0" fontId="0" fillId="2" borderId="23" xfId="0" applyFont="1" applyFill="1" applyBorder="1" applyAlignment="1">
      <alignment horizontal="left"/>
    </xf>
    <xf numFmtId="0" fontId="3" fillId="0" borderId="24" xfId="0" applyFont="1" applyBorder="1" applyAlignment="1"/>
    <xf numFmtId="0" fontId="3" fillId="0" borderId="25" xfId="0" applyFont="1" applyBorder="1" applyAlignment="1"/>
    <xf numFmtId="0" fontId="1" fillId="0" borderId="0" xfId="0" applyFont="1" applyAlignment="1"/>
    <xf numFmtId="9" fontId="2" fillId="0" borderId="6" xfId="0" applyNumberFormat="1" applyFont="1" applyBorder="1" applyAlignment="1">
      <alignment vertical="center"/>
    </xf>
    <xf numFmtId="0" fontId="3" fillId="0" borderId="6" xfId="0" applyFont="1" applyBorder="1" applyAlignment="1"/>
    <xf numFmtId="0" fontId="3" fillId="0" borderId="19" xfId="0" applyFont="1" applyBorder="1" applyAlignment="1"/>
    <xf numFmtId="0" fontId="2" fillId="0" borderId="6" xfId="0" applyFont="1" applyBorder="1" applyAlignment="1">
      <alignment vertical="center"/>
    </xf>
    <xf numFmtId="0" fontId="2" fillId="0" borderId="11" xfId="0" applyFont="1" applyBorder="1" applyAlignment="1">
      <alignment vertical="center"/>
    </xf>
    <xf numFmtId="0" fontId="3" fillId="0" borderId="8" xfId="0" applyFont="1" applyBorder="1" applyAlignment="1"/>
    <xf numFmtId="0" fontId="2" fillId="0" borderId="36" xfId="0" applyFont="1" applyBorder="1" applyAlignment="1">
      <alignment vertical="center"/>
    </xf>
    <xf numFmtId="0" fontId="0" fillId="2" borderId="23" xfId="0" applyFont="1" applyFill="1" applyBorder="1" applyAlignment="1"/>
    <xf numFmtId="0" fontId="9" fillId="2" borderId="38" xfId="0" applyFont="1" applyFill="1" applyBorder="1" applyAlignment="1"/>
    <xf numFmtId="9" fontId="2" fillId="0" borderId="37" xfId="0" applyNumberFormat="1" applyFont="1" applyBorder="1" applyAlignment="1">
      <alignment vertical="center"/>
    </xf>
    <xf numFmtId="0" fontId="0" fillId="2" borderId="42" xfId="0" applyFont="1" applyFill="1" applyBorder="1" applyAlignment="1">
      <alignment vertical="center" wrapText="1"/>
    </xf>
    <xf numFmtId="0" fontId="3" fillId="0" borderId="43" xfId="0" applyFont="1" applyBorder="1" applyAlignment="1"/>
    <xf numFmtId="0" fontId="3" fillId="0" borderId="46" xfId="0" applyFont="1" applyBorder="1" applyAlignment="1"/>
    <xf numFmtId="0" fontId="3" fillId="0" borderId="47" xfId="0" applyFont="1" applyBorder="1" applyAlignment="1"/>
    <xf numFmtId="0" fontId="3" fillId="0" borderId="50" xfId="0" applyFont="1" applyBorder="1" applyAlignment="1"/>
    <xf numFmtId="0" fontId="3" fillId="0" borderId="51" xfId="0" applyFont="1" applyBorder="1" applyAlignment="1"/>
    <xf numFmtId="0" fontId="0" fillId="2" borderId="42" xfId="0" applyFont="1" applyFill="1" applyBorder="1" applyAlignment="1">
      <alignment vertical="center"/>
    </xf>
    <xf numFmtId="0" fontId="3" fillId="0" borderId="55" xfId="0" applyFont="1" applyBorder="1" applyAlignment="1"/>
    <xf numFmtId="0" fontId="3" fillId="0" borderId="56" xfId="0" applyFont="1" applyBorder="1" applyAlignment="1"/>
    <xf numFmtId="0" fontId="3" fillId="0" borderId="57" xfId="0" applyFont="1" applyBorder="1" applyAlignment="1"/>
    <xf numFmtId="0" fontId="0" fillId="2" borderId="54" xfId="0" applyFont="1" applyFill="1" applyBorder="1" applyAlignment="1"/>
    <xf numFmtId="0" fontId="2" fillId="0" borderId="37" xfId="0" applyFont="1" applyBorder="1" applyAlignment="1">
      <alignment vertical="center"/>
    </xf>
    <xf numFmtId="0" fontId="1" fillId="2" borderId="52" xfId="0" applyFont="1" applyFill="1" applyBorder="1" applyAlignment="1">
      <alignment vertical="top" wrapText="1"/>
    </xf>
    <xf numFmtId="0" fontId="3" fillId="0" borderId="53" xfId="0" applyFont="1" applyBorder="1" applyAlignment="1"/>
    <xf numFmtId="0" fontId="3" fillId="0" borderId="60" xfId="0" applyFont="1" applyBorder="1" applyAlignment="1"/>
    <xf numFmtId="0" fontId="1" fillId="2" borderId="52" xfId="0" applyFont="1" applyFill="1" applyBorder="1" applyAlignment="1">
      <alignment vertical="top"/>
    </xf>
    <xf numFmtId="0" fontId="0" fillId="3" borderId="54" xfId="0" applyFont="1" applyFill="1" applyBorder="1" applyAlignment="1">
      <alignment wrapText="1"/>
    </xf>
    <xf numFmtId="0" fontId="0" fillId="3" borderId="54" xfId="0" applyFont="1" applyFill="1" applyBorder="1" applyAlignment="1"/>
    <xf numFmtId="9" fontId="2" fillId="0" borderId="37" xfId="0" applyNumberFormat="1" applyFont="1" applyBorder="1" applyAlignment="1">
      <alignment vertical="center" wrapText="1"/>
    </xf>
    <xf numFmtId="0" fontId="3" fillId="0" borderId="6"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552450</xdr:colOff>
      <xdr:row>26</xdr:row>
      <xdr:rowOff>76200</xdr:rowOff>
    </xdr:from>
    <xdr:ext cx="1400175" cy="638175"/>
    <xdr:sp macro="" textlink="">
      <xdr:nvSpPr>
        <xdr:cNvPr id="5" name="Shape 5"/>
        <xdr:cNvSpPr txBox="1"/>
      </xdr:nvSpPr>
      <xdr:spPr>
        <a:xfrm>
          <a:off x="4655438" y="3470438"/>
          <a:ext cx="1381125" cy="619125"/>
        </a:xfrm>
        <a:prstGeom prst="rect">
          <a:avLst/>
        </a:prstGeom>
        <a:solidFill>
          <a:schemeClr val="accent6"/>
        </a:solidFill>
        <a:ln w="25400" cap="flat" cmpd="sng">
          <a:solidFill>
            <a:srgbClr val="B46D33"/>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1100" b="0" cap="none">
              <a:solidFill>
                <a:schemeClr val="dk1"/>
              </a:solidFill>
              <a:latin typeface="Calibri"/>
              <a:ea typeface="Calibri"/>
              <a:cs typeface="Calibri"/>
              <a:sym typeface="Calibri"/>
            </a:rPr>
            <a:t>Use for LEVEL/BASE funding scenario</a:t>
          </a:r>
          <a:endParaRPr sz="1100" b="0" cap="none">
            <a:solidFill>
              <a:schemeClr val="dk1"/>
            </a:solidFill>
          </a:endParaRPr>
        </a:p>
      </xdr:txBody>
    </xdr:sp>
    <xdr:clientData fLocksWithSheet="0"/>
  </xdr:oneCellAnchor>
  <xdr:oneCellAnchor>
    <xdr:from>
      <xdr:col>2</xdr:col>
      <xdr:colOff>885825</xdr:colOff>
      <xdr:row>26</xdr:row>
      <xdr:rowOff>28575</xdr:rowOff>
    </xdr:from>
    <xdr:ext cx="1076325" cy="228600"/>
    <xdr:grpSp>
      <xdr:nvGrpSpPr>
        <xdr:cNvPr id="2" name="Shape 2" descr="arrow "/>
        <xdr:cNvGrpSpPr/>
      </xdr:nvGrpSpPr>
      <xdr:grpSpPr>
        <a:xfrm>
          <a:off x="5648325" y="5934075"/>
          <a:ext cx="1076325" cy="228600"/>
          <a:chOff x="4822125" y="3675225"/>
          <a:chExt cx="1047750" cy="209550"/>
        </a:xfrm>
      </xdr:grpSpPr>
      <xdr:cxnSp macro="">
        <xdr:nvCxnSpPr>
          <xdr:cNvPr id="6" name="Shape 6"/>
          <xdr:cNvCxnSpPr/>
        </xdr:nvCxnSpPr>
        <xdr:spPr>
          <a:xfrm rot="10800000">
            <a:off x="4822125" y="3675225"/>
            <a:ext cx="1047750" cy="209550"/>
          </a:xfrm>
          <a:prstGeom prst="straightConnector1">
            <a:avLst/>
          </a:prstGeom>
          <a:noFill/>
          <a:ln w="28575" cap="flat" cmpd="sng">
            <a:solidFill>
              <a:srgbClr val="F5913F"/>
            </a:solidFill>
            <a:prstDash val="solid"/>
            <a:round/>
            <a:headEnd type="none" w="sm" len="sm"/>
            <a:tailEnd type="triangl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190500</xdr:colOff>
      <xdr:row>6</xdr:row>
      <xdr:rowOff>152400</xdr:rowOff>
    </xdr:from>
    <xdr:ext cx="6115050" cy="3124200"/>
    <xdr:pic>
      <xdr:nvPicPr>
        <xdr:cNvPr id="2" name="image2.png" descr="what it looks like in the online version "/>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161925</xdr:colOff>
      <xdr:row>3</xdr:row>
      <xdr:rowOff>104775</xdr:rowOff>
    </xdr:from>
    <xdr:ext cx="6248400" cy="1628775"/>
    <xdr:pic>
      <xdr:nvPicPr>
        <xdr:cNvPr id="5" name="image1.png" descr="what it looks like in the online version "/>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200025</xdr:colOff>
      <xdr:row>21</xdr:row>
      <xdr:rowOff>28575</xdr:rowOff>
    </xdr:from>
    <xdr:ext cx="6105525" cy="2038350"/>
    <xdr:pic>
      <xdr:nvPicPr>
        <xdr:cNvPr id="6" name="image3.png" descr="what it looks like in the online version "/>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752475</xdr:colOff>
      <xdr:row>27</xdr:row>
      <xdr:rowOff>66675</xdr:rowOff>
    </xdr:from>
    <xdr:ext cx="2181225" cy="809625"/>
    <xdr:sp macro="" textlink="">
      <xdr:nvSpPr>
        <xdr:cNvPr id="7" name="Shape 7"/>
        <xdr:cNvSpPr txBox="1"/>
      </xdr:nvSpPr>
      <xdr:spPr>
        <a:xfrm>
          <a:off x="4269675" y="3384713"/>
          <a:ext cx="2152650" cy="790575"/>
        </a:xfrm>
        <a:prstGeom prst="rect">
          <a:avLst/>
        </a:prstGeom>
        <a:solidFill>
          <a:schemeClr val="accent2"/>
        </a:solidFill>
        <a:ln w="25400" cap="flat" cmpd="sng">
          <a:solidFill>
            <a:srgbClr val="8C3A38"/>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1100">
              <a:solidFill>
                <a:schemeClr val="lt1"/>
              </a:solidFill>
              <a:latin typeface="Calibri"/>
              <a:ea typeface="Calibri"/>
              <a:cs typeface="Calibri"/>
              <a:sym typeface="Calibri"/>
            </a:rPr>
            <a:t>Total is </a:t>
          </a:r>
          <a:r>
            <a:rPr lang="en-US" sz="1100" b="1">
              <a:solidFill>
                <a:schemeClr val="lt1"/>
              </a:solidFill>
              <a:latin typeface="Calibri"/>
              <a:ea typeface="Calibri"/>
              <a:cs typeface="Calibri"/>
              <a:sym typeface="Calibri"/>
            </a:rPr>
            <a:t>$37,230 </a:t>
          </a:r>
          <a:r>
            <a:rPr lang="en-US" sz="1100">
              <a:solidFill>
                <a:schemeClr val="lt1"/>
              </a:solidFill>
              <a:latin typeface="Calibri"/>
              <a:ea typeface="Calibri"/>
              <a:cs typeface="Calibri"/>
              <a:sym typeface="Calibri"/>
            </a:rPr>
            <a:t>MORE THAN allowed by HRSA</a:t>
          </a:r>
          <a:endParaRPr sz="1100"/>
        </a:p>
      </xdr:txBody>
    </xdr:sp>
    <xdr:clientData fLocksWithSheet="0"/>
  </xdr:oneCellAnchor>
  <xdr:oneCellAnchor>
    <xdr:from>
      <xdr:col>7</xdr:col>
      <xdr:colOff>685800</xdr:colOff>
      <xdr:row>25</xdr:row>
      <xdr:rowOff>-9525</xdr:rowOff>
    </xdr:from>
    <xdr:ext cx="552450" cy="504825"/>
    <xdr:grpSp>
      <xdr:nvGrpSpPr>
        <xdr:cNvPr id="2" name="Shape 2" descr="arrow"/>
        <xdr:cNvGrpSpPr/>
      </xdr:nvGrpSpPr>
      <xdr:grpSpPr>
        <a:xfrm>
          <a:off x="9201150" y="6067425"/>
          <a:ext cx="552450" cy="504825"/>
          <a:chOff x="5084063" y="3537113"/>
          <a:chExt cx="523875" cy="485775"/>
        </a:xfrm>
      </xdr:grpSpPr>
      <xdr:cxnSp macro="">
        <xdr:nvCxnSpPr>
          <xdr:cNvPr id="8" name="Shape 8"/>
          <xdr:cNvCxnSpPr/>
        </xdr:nvCxnSpPr>
        <xdr:spPr>
          <a:xfrm rot="10800000">
            <a:off x="5084063" y="3537113"/>
            <a:ext cx="523875" cy="485775"/>
          </a:xfrm>
          <a:prstGeom prst="straightConnector1">
            <a:avLst/>
          </a:prstGeom>
          <a:noFill/>
          <a:ln w="25400" cap="flat" cmpd="sng">
            <a:solidFill>
              <a:schemeClr val="accent2"/>
            </a:solidFill>
            <a:prstDash val="solid"/>
            <a:round/>
            <a:headEnd type="none" w="sm" len="sm"/>
            <a:tailEnd type="triangle" w="med" len="med"/>
          </a:ln>
        </xdr:spPr>
      </xdr:cxnSp>
    </xdr:grpSp>
    <xdr:clientData fLocksWithSheet="0"/>
  </xdr:oneCellAnchor>
  <xdr:oneCellAnchor>
    <xdr:from>
      <xdr:col>11</xdr:col>
      <xdr:colOff>561975</xdr:colOff>
      <xdr:row>27</xdr:row>
      <xdr:rowOff>66675</xdr:rowOff>
    </xdr:from>
    <xdr:ext cx="1419225" cy="895350"/>
    <xdr:sp macro="" textlink="">
      <xdr:nvSpPr>
        <xdr:cNvPr id="9" name="Shape 9"/>
        <xdr:cNvSpPr txBox="1"/>
      </xdr:nvSpPr>
      <xdr:spPr>
        <a:xfrm>
          <a:off x="4655438" y="3351375"/>
          <a:ext cx="1381125" cy="857250"/>
        </a:xfrm>
        <a:prstGeom prst="rect">
          <a:avLst/>
        </a:prstGeom>
        <a:solidFill>
          <a:schemeClr val="accent4"/>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1400" b="1">
              <a:solidFill>
                <a:schemeClr val="lt1"/>
              </a:solidFill>
              <a:latin typeface="Calibri"/>
              <a:ea typeface="Calibri"/>
              <a:cs typeface="Calibri"/>
              <a:sym typeface="Calibri"/>
            </a:rPr>
            <a:t>$8,557,770 </a:t>
          </a:r>
          <a:r>
            <a:rPr lang="en-US" sz="1100" b="1">
              <a:solidFill>
                <a:schemeClr val="lt1"/>
              </a:solidFill>
              <a:latin typeface="Calibri"/>
              <a:ea typeface="Calibri"/>
              <a:cs typeface="Calibri"/>
              <a:sym typeface="Calibri"/>
            </a:rPr>
            <a:t>Maximum allowed by HRSA (rounded)</a:t>
          </a:r>
          <a:endParaRPr sz="1100" b="1"/>
        </a:p>
      </xdr:txBody>
    </xdr:sp>
    <xdr:clientData fLocksWithSheet="0"/>
  </xdr:oneCellAnchor>
  <xdr:oneCellAnchor>
    <xdr:from>
      <xdr:col>11</xdr:col>
      <xdr:colOff>857250</xdr:colOff>
      <xdr:row>25</xdr:row>
      <xdr:rowOff>19050</xdr:rowOff>
    </xdr:from>
    <xdr:ext cx="838200" cy="495300"/>
    <xdr:grpSp>
      <xdr:nvGrpSpPr>
        <xdr:cNvPr id="3" name="Shape 2" descr="arrow"/>
        <xdr:cNvGrpSpPr/>
      </xdr:nvGrpSpPr>
      <xdr:grpSpPr>
        <a:xfrm>
          <a:off x="11268075" y="6096000"/>
          <a:ext cx="838200" cy="495300"/>
          <a:chOff x="4941188" y="3541875"/>
          <a:chExt cx="809625" cy="476250"/>
        </a:xfrm>
      </xdr:grpSpPr>
      <xdr:cxnSp macro="">
        <xdr:nvCxnSpPr>
          <xdr:cNvPr id="10" name="Shape 10"/>
          <xdr:cNvCxnSpPr/>
        </xdr:nvCxnSpPr>
        <xdr:spPr>
          <a:xfrm rot="10800000">
            <a:off x="4941188" y="3541875"/>
            <a:ext cx="809625" cy="476250"/>
          </a:xfrm>
          <a:prstGeom prst="straightConnector1">
            <a:avLst/>
          </a:prstGeom>
          <a:noFill/>
          <a:ln w="25400" cap="flat" cmpd="sng">
            <a:solidFill>
              <a:schemeClr val="accent4"/>
            </a:solidFill>
            <a:prstDash val="solid"/>
            <a:round/>
            <a:headEnd type="none" w="sm" len="sm"/>
            <a:tailEnd type="triangle" w="med" len="med"/>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0</xdr:colOff>
      <xdr:row>26</xdr:row>
      <xdr:rowOff>209550</xdr:rowOff>
    </xdr:from>
    <xdr:ext cx="1333500" cy="38100"/>
    <xdr:grpSp>
      <xdr:nvGrpSpPr>
        <xdr:cNvPr id="2" name="Shape 2" descr="arrow "/>
        <xdr:cNvGrpSpPr/>
      </xdr:nvGrpSpPr>
      <xdr:grpSpPr>
        <a:xfrm>
          <a:off x="7143750" y="6153150"/>
          <a:ext cx="1333500" cy="38100"/>
          <a:chOff x="4679250" y="3780000"/>
          <a:chExt cx="1333500" cy="0"/>
        </a:xfrm>
      </xdr:grpSpPr>
      <xdr:cxnSp macro="">
        <xdr:nvCxnSpPr>
          <xdr:cNvPr id="11" name="Shape 11"/>
          <xdr:cNvCxnSpPr/>
        </xdr:nvCxnSpPr>
        <xdr:spPr>
          <a:xfrm>
            <a:off x="4679250" y="3780000"/>
            <a:ext cx="1333500" cy="0"/>
          </a:xfrm>
          <a:prstGeom prst="straightConnector1">
            <a:avLst/>
          </a:prstGeom>
          <a:noFill/>
          <a:ln w="25400" cap="flat" cmpd="sng">
            <a:solidFill>
              <a:schemeClr val="accent1"/>
            </a:solidFill>
            <a:prstDash val="solid"/>
            <a:round/>
            <a:headEnd type="none" w="sm" len="sm"/>
            <a:tailEnd type="triangle" w="med" len="med"/>
          </a:ln>
        </xdr:spPr>
      </xdr:cxnSp>
    </xdr:grpSp>
    <xdr:clientData fLocksWithSheet="0"/>
  </xdr:oneCellAnchor>
  <xdr:oneCellAnchor>
    <xdr:from>
      <xdr:col>8</xdr:col>
      <xdr:colOff>447675</xdr:colOff>
      <xdr:row>26</xdr:row>
      <xdr:rowOff>19050</xdr:rowOff>
    </xdr:from>
    <xdr:ext cx="1247775" cy="485775"/>
    <xdr:sp macro="" textlink="">
      <xdr:nvSpPr>
        <xdr:cNvPr id="12" name="Shape 12"/>
        <xdr:cNvSpPr txBox="1"/>
      </xdr:nvSpPr>
      <xdr:spPr>
        <a:xfrm>
          <a:off x="4741163" y="3556163"/>
          <a:ext cx="1209675" cy="447675"/>
        </a:xfrm>
        <a:prstGeom prst="rect">
          <a:avLst/>
        </a:prstGeom>
        <a:solidFill>
          <a:schemeClr val="dk1"/>
        </a:solidFill>
        <a:ln w="38100"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1100">
              <a:solidFill>
                <a:schemeClr val="lt1"/>
              </a:solidFill>
              <a:latin typeface="Calibri"/>
              <a:ea typeface="Calibri"/>
              <a:cs typeface="Calibri"/>
              <a:sym typeface="Calibri"/>
            </a:rPr>
            <a:t>START WITH THIS AMOUNT</a:t>
          </a:r>
          <a:endParaRPr sz="1100"/>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16" sqref="B16:B25"/>
    </sheetView>
  </sheetViews>
  <sheetFormatPr defaultColWidth="11.25" defaultRowHeight="15" customHeight="1" x14ac:dyDescent="0.25"/>
  <cols>
    <col min="1" max="3" width="11.125" customWidth="1"/>
    <col min="4" max="4" width="43.125" customWidth="1"/>
    <col min="5" max="5" width="16.125" customWidth="1"/>
    <col min="6" max="6" width="11.125" customWidth="1"/>
    <col min="7" max="7" width="20.375" customWidth="1"/>
    <col min="8" max="8" width="15.125" customWidth="1"/>
    <col min="9" max="10" width="11.125" customWidth="1"/>
    <col min="11" max="11" width="15.625" customWidth="1"/>
    <col min="12" max="12" width="19.125" customWidth="1"/>
    <col min="13" max="26" width="15.125" customWidth="1"/>
  </cols>
  <sheetData>
    <row r="1" spans="1:26" ht="15.75" customHeight="1" x14ac:dyDescent="0.25">
      <c r="A1" s="1" t="s">
        <v>0</v>
      </c>
    </row>
    <row r="2" spans="1:26" ht="15.75" customHeight="1" x14ac:dyDescent="0.25">
      <c r="H2" s="2"/>
    </row>
    <row r="3" spans="1:26" ht="15.75" x14ac:dyDescent="0.25">
      <c r="D3" t="s">
        <v>1</v>
      </c>
      <c r="E3" s="3" t="s">
        <v>2</v>
      </c>
      <c r="F3" s="4"/>
      <c r="H3" s="2"/>
    </row>
    <row r="4" spans="1:26" ht="30.75" customHeight="1" thickBot="1" x14ac:dyDescent="0.3">
      <c r="A4" s="5" t="s">
        <v>3</v>
      </c>
      <c r="B4" s="6" t="s">
        <v>6</v>
      </c>
      <c r="C4" s="5" t="s">
        <v>7</v>
      </c>
      <c r="D4" s="7" t="s">
        <v>8</v>
      </c>
      <c r="E4" s="8" t="s">
        <v>9</v>
      </c>
      <c r="F4" s="7" t="s">
        <v>10</v>
      </c>
      <c r="H4" s="331" t="s">
        <v>11</v>
      </c>
      <c r="I4" s="301"/>
      <c r="J4" s="301"/>
      <c r="K4" s="301"/>
      <c r="L4" s="301"/>
    </row>
    <row r="5" spans="1:26" ht="15.75" customHeight="1" x14ac:dyDescent="0.25">
      <c r="A5" s="304">
        <f>SUM(E5:E15)/E26</f>
        <v>0.76240000160062149</v>
      </c>
      <c r="B5" s="306" t="s">
        <v>21</v>
      </c>
      <c r="C5" s="24">
        <v>2</v>
      </c>
      <c r="D5" s="16" t="s">
        <v>26</v>
      </c>
      <c r="E5" s="25">
        <v>1942205.4399999999</v>
      </c>
      <c r="F5" s="27">
        <f t="shared" ref="F5:F25" si="0">E5/$E$26</f>
        <v>0.26080000169730344</v>
      </c>
      <c r="H5" s="30">
        <f>E5/(E5+E31)</f>
        <v>0.78899393030075082</v>
      </c>
    </row>
    <row r="6" spans="1:26" ht="15.75" customHeight="1" x14ac:dyDescent="0.25">
      <c r="A6" s="318"/>
      <c r="B6" s="335"/>
      <c r="C6" s="34">
        <v>12</v>
      </c>
      <c r="D6" s="33" t="s">
        <v>27</v>
      </c>
      <c r="E6" s="36">
        <v>0</v>
      </c>
      <c r="F6" s="37">
        <f t="shared" si="0"/>
        <v>0</v>
      </c>
      <c r="H6" s="30"/>
    </row>
    <row r="7" spans="1:26" ht="15.75" customHeight="1" x14ac:dyDescent="0.25">
      <c r="A7" s="318"/>
      <c r="B7" s="335"/>
      <c r="C7" s="34">
        <v>20</v>
      </c>
      <c r="D7" s="33" t="s">
        <v>28</v>
      </c>
      <c r="E7" s="36">
        <v>0</v>
      </c>
      <c r="F7" s="37">
        <f t="shared" si="0"/>
        <v>0</v>
      </c>
      <c r="H7" s="30"/>
    </row>
    <row r="8" spans="1:26" ht="15.75" customHeight="1" x14ac:dyDescent="0.25">
      <c r="A8" s="318"/>
      <c r="B8" s="335"/>
      <c r="C8" s="34">
        <v>14</v>
      </c>
      <c r="D8" s="39" t="s">
        <v>29</v>
      </c>
      <c r="E8" s="36">
        <v>0</v>
      </c>
      <c r="F8" s="37">
        <f t="shared" si="0"/>
        <v>0</v>
      </c>
      <c r="H8" s="30"/>
    </row>
    <row r="9" spans="1:26" ht="15.75" customHeight="1" x14ac:dyDescent="0.25">
      <c r="A9" s="318"/>
      <c r="B9" s="335"/>
      <c r="C9" s="41">
        <v>1</v>
      </c>
      <c r="D9" s="43" t="s">
        <v>30</v>
      </c>
      <c r="E9" s="47">
        <v>1369522.92</v>
      </c>
      <c r="F9" s="48">
        <f t="shared" si="0"/>
        <v>0.18389999971398285</v>
      </c>
      <c r="G9" s="2"/>
      <c r="H9" s="30">
        <f>E9/(E9+E32)</f>
        <v>0.88171091572100435</v>
      </c>
      <c r="I9" s="2"/>
      <c r="J9" s="2"/>
      <c r="K9" s="2"/>
      <c r="L9" s="2"/>
      <c r="M9" s="2"/>
      <c r="N9" s="2"/>
      <c r="O9" s="2"/>
      <c r="P9" s="2"/>
      <c r="Q9" s="2"/>
      <c r="R9" s="2"/>
      <c r="S9" s="2"/>
      <c r="T9" s="2"/>
      <c r="U9" s="2"/>
      <c r="V9" s="2"/>
      <c r="W9" s="2"/>
      <c r="X9" s="2"/>
      <c r="Y9" s="2"/>
      <c r="Z9" s="2"/>
    </row>
    <row r="10" spans="1:26" ht="15.75" customHeight="1" x14ac:dyDescent="0.25">
      <c r="A10" s="318"/>
      <c r="B10" s="335"/>
      <c r="C10" s="34">
        <v>11</v>
      </c>
      <c r="D10" s="39" t="s">
        <v>32</v>
      </c>
      <c r="E10" s="36">
        <v>4468.26</v>
      </c>
      <c r="F10" s="37">
        <f t="shared" si="0"/>
        <v>5.9999946019304376E-4</v>
      </c>
    </row>
    <row r="11" spans="1:26" ht="15.75" customHeight="1" x14ac:dyDescent="0.25">
      <c r="A11" s="318"/>
      <c r="B11" s="335"/>
      <c r="C11" s="34">
        <v>13</v>
      </c>
      <c r="D11" s="39" t="s">
        <v>33</v>
      </c>
      <c r="E11" s="36">
        <v>18617.77</v>
      </c>
      <c r="F11" s="37">
        <f t="shared" si="0"/>
        <v>2.5000004364110961E-3</v>
      </c>
    </row>
    <row r="12" spans="1:26" ht="15.75" customHeight="1" x14ac:dyDescent="0.25">
      <c r="A12" s="318"/>
      <c r="B12" s="335"/>
      <c r="C12" s="34">
        <v>21</v>
      </c>
      <c r="D12" s="33" t="s">
        <v>34</v>
      </c>
      <c r="E12" s="36">
        <v>0</v>
      </c>
      <c r="F12" s="37">
        <f t="shared" si="0"/>
        <v>0</v>
      </c>
    </row>
    <row r="13" spans="1:26" ht="15.75" customHeight="1" x14ac:dyDescent="0.25">
      <c r="A13" s="318"/>
      <c r="B13" s="335"/>
      <c r="C13" s="34">
        <v>7</v>
      </c>
      <c r="D13" s="33" t="s">
        <v>35</v>
      </c>
      <c r="E13" s="36">
        <v>190645.93</v>
      </c>
      <c r="F13" s="37">
        <f t="shared" si="0"/>
        <v>2.5599999795893884E-2</v>
      </c>
      <c r="G13" s="2"/>
      <c r="H13" s="2"/>
      <c r="I13" s="2"/>
      <c r="J13" s="2"/>
      <c r="K13" s="2"/>
      <c r="L13" s="2"/>
      <c r="M13" s="2"/>
      <c r="N13" s="2"/>
      <c r="O13" s="2"/>
      <c r="P13" s="2"/>
      <c r="Q13" s="2"/>
      <c r="R13" s="2"/>
      <c r="S13" s="2"/>
      <c r="T13" s="2"/>
      <c r="U13" s="2"/>
      <c r="V13" s="2"/>
      <c r="W13" s="2"/>
      <c r="X13" s="2"/>
      <c r="Y13" s="2"/>
      <c r="Z13" s="2"/>
    </row>
    <row r="14" spans="1:26" ht="15.75" customHeight="1" x14ac:dyDescent="0.25">
      <c r="A14" s="318"/>
      <c r="B14" s="335"/>
      <c r="C14" s="51">
        <v>10</v>
      </c>
      <c r="D14" s="39" t="s">
        <v>36</v>
      </c>
      <c r="E14" s="52">
        <v>247243.94</v>
      </c>
      <c r="F14" s="54">
        <f t="shared" si="0"/>
        <v>3.319999967235597E-2</v>
      </c>
      <c r="I14" s="2"/>
    </row>
    <row r="15" spans="1:26" ht="15.75" customHeight="1" thickBot="1" x14ac:dyDescent="0.3">
      <c r="A15" s="318"/>
      <c r="B15" s="335"/>
      <c r="C15" s="56">
        <v>5</v>
      </c>
      <c r="D15" s="58" t="s">
        <v>37</v>
      </c>
      <c r="E15" s="59">
        <v>1904969.9</v>
      </c>
      <c r="F15" s="58">
        <f t="shared" si="0"/>
        <v>0.25580000082448123</v>
      </c>
      <c r="G15" s="65">
        <f>SUM(E5:E15)</f>
        <v>5677674.1600000001</v>
      </c>
      <c r="H15" s="31"/>
      <c r="I15" s="2"/>
    </row>
    <row r="16" spans="1:26" ht="15.75" customHeight="1" x14ac:dyDescent="0.25">
      <c r="A16" s="336">
        <f>SUM(E16:E25)/E26</f>
        <v>0.23759999839937834</v>
      </c>
      <c r="B16" s="307" t="s">
        <v>39</v>
      </c>
      <c r="C16" s="24">
        <v>9</v>
      </c>
      <c r="D16" s="69" t="s">
        <v>40</v>
      </c>
      <c r="E16" s="25">
        <v>116174.86</v>
      </c>
      <c r="F16" s="27">
        <f t="shared" si="0"/>
        <v>1.5599999393052873E-2</v>
      </c>
      <c r="I16" s="2"/>
    </row>
    <row r="17" spans="1:9" ht="15.75" customHeight="1" x14ac:dyDescent="0.25">
      <c r="A17" s="305"/>
      <c r="B17" s="305"/>
      <c r="C17" s="34">
        <v>17</v>
      </c>
      <c r="D17" s="39" t="s">
        <v>41</v>
      </c>
      <c r="E17" s="36">
        <v>0</v>
      </c>
      <c r="F17" s="37">
        <f t="shared" si="0"/>
        <v>0</v>
      </c>
      <c r="I17" s="2"/>
    </row>
    <row r="18" spans="1:9" ht="15.75" customHeight="1" x14ac:dyDescent="0.25">
      <c r="A18" s="305"/>
      <c r="B18" s="305"/>
      <c r="C18" s="34">
        <v>3</v>
      </c>
      <c r="D18" s="39" t="s">
        <v>42</v>
      </c>
      <c r="E18" s="36">
        <v>460975.9</v>
      </c>
      <c r="F18" s="37">
        <f t="shared" si="0"/>
        <v>6.1899999364853998E-2</v>
      </c>
      <c r="I18" s="2"/>
    </row>
    <row r="19" spans="1:9" ht="15.75" customHeight="1" x14ac:dyDescent="0.25">
      <c r="A19" s="305"/>
      <c r="B19" s="305"/>
      <c r="C19" s="34">
        <v>6</v>
      </c>
      <c r="D19" s="33" t="s">
        <v>43</v>
      </c>
      <c r="E19" s="36">
        <v>330651.53999999998</v>
      </c>
      <c r="F19" s="37">
        <f t="shared" si="0"/>
        <v>4.4400000338386439E-2</v>
      </c>
    </row>
    <row r="20" spans="1:9" ht="15.75" customHeight="1" x14ac:dyDescent="0.25">
      <c r="A20" s="305"/>
      <c r="B20" s="305"/>
      <c r="C20" s="34">
        <v>16</v>
      </c>
      <c r="D20" s="33" t="s">
        <v>44</v>
      </c>
      <c r="E20" s="36">
        <v>78939.33</v>
      </c>
      <c r="F20" s="37">
        <f t="shared" si="0"/>
        <v>1.0599999863034055E-2</v>
      </c>
    </row>
    <row r="21" spans="1:9" ht="15.75" customHeight="1" x14ac:dyDescent="0.25">
      <c r="A21" s="305"/>
      <c r="B21" s="305"/>
      <c r="C21" s="34">
        <v>18</v>
      </c>
      <c r="D21" s="33" t="s">
        <v>45</v>
      </c>
      <c r="E21" s="36">
        <v>0</v>
      </c>
      <c r="F21" s="37">
        <f t="shared" si="0"/>
        <v>0</v>
      </c>
    </row>
    <row r="22" spans="1:9" ht="15.75" customHeight="1" x14ac:dyDescent="0.25">
      <c r="A22" s="305"/>
      <c r="B22" s="305"/>
      <c r="C22" s="34">
        <v>4</v>
      </c>
      <c r="D22" s="33" t="s">
        <v>46</v>
      </c>
      <c r="E22" s="36">
        <v>689602.08</v>
      </c>
      <c r="F22" s="37">
        <f t="shared" si="0"/>
        <v>9.259999994360224E-2</v>
      </c>
    </row>
    <row r="23" spans="1:9" ht="15.75" customHeight="1" x14ac:dyDescent="0.25">
      <c r="A23" s="305"/>
      <c r="B23" s="305"/>
      <c r="C23" s="34">
        <v>15</v>
      </c>
      <c r="D23" s="33" t="s">
        <v>47</v>
      </c>
      <c r="E23" s="36">
        <v>23086.03</v>
      </c>
      <c r="F23" s="37">
        <f t="shared" si="0"/>
        <v>3.0999998966041394E-3</v>
      </c>
    </row>
    <row r="24" spans="1:9" ht="15.75" customHeight="1" x14ac:dyDescent="0.25">
      <c r="A24" s="305"/>
      <c r="B24" s="305"/>
      <c r="C24" s="34">
        <v>8</v>
      </c>
      <c r="D24" s="33" t="s">
        <v>48</v>
      </c>
      <c r="E24" s="36">
        <v>70002.8</v>
      </c>
      <c r="F24" s="37">
        <f t="shared" si="0"/>
        <v>9.3999995998445933E-3</v>
      </c>
    </row>
    <row r="25" spans="1:9" ht="15.75" customHeight="1" thickBot="1" x14ac:dyDescent="0.3">
      <c r="A25" s="302"/>
      <c r="B25" s="302"/>
      <c r="C25" s="73">
        <v>19</v>
      </c>
      <c r="D25" s="76" t="s">
        <v>49</v>
      </c>
      <c r="E25" s="125">
        <v>0</v>
      </c>
      <c r="F25" s="127">
        <f t="shared" si="0"/>
        <v>0</v>
      </c>
      <c r="G25" s="65">
        <f>SUM(E16:E25)</f>
        <v>1769432.54</v>
      </c>
    </row>
    <row r="26" spans="1:9" ht="15.75" customHeight="1" x14ac:dyDescent="0.25">
      <c r="A26" s="129"/>
      <c r="B26" s="130"/>
      <c r="C26" s="131"/>
      <c r="D26" s="132" t="s">
        <v>69</v>
      </c>
      <c r="E26" s="133">
        <f t="shared" ref="E26:F26" si="1">SUM(E5:E25)</f>
        <v>7447106.7000000011</v>
      </c>
      <c r="F26" s="134">
        <f t="shared" si="1"/>
        <v>1</v>
      </c>
      <c r="G26" s="65">
        <f>G15+G25</f>
        <v>7447106.7000000002</v>
      </c>
      <c r="H26" s="65">
        <f>E26-G26</f>
        <v>0</v>
      </c>
    </row>
    <row r="27" spans="1:9" ht="15.75" customHeight="1" x14ac:dyDescent="0.25">
      <c r="E27" s="2"/>
      <c r="F27" s="2"/>
    </row>
    <row r="28" spans="1:9" ht="15.75" customHeight="1" x14ac:dyDescent="0.25">
      <c r="E28" s="2"/>
      <c r="F28" s="2"/>
    </row>
    <row r="29" spans="1:9" ht="15.75" customHeight="1" x14ac:dyDescent="0.25">
      <c r="D29" t="s">
        <v>70</v>
      </c>
      <c r="E29" s="2"/>
      <c r="F29" s="2"/>
    </row>
    <row r="30" spans="1:9" ht="33" customHeight="1" thickBot="1" x14ac:dyDescent="0.3">
      <c r="A30" s="7"/>
      <c r="B30" s="7"/>
      <c r="C30" s="5" t="s">
        <v>7</v>
      </c>
      <c r="D30" s="7" t="s">
        <v>71</v>
      </c>
      <c r="E30" s="8"/>
      <c r="F30" s="7" t="s">
        <v>10</v>
      </c>
    </row>
    <row r="31" spans="1:9" ht="15.75" customHeight="1" x14ac:dyDescent="0.25">
      <c r="A31" s="303">
        <f>SUM(E31:E32)/E33</f>
        <v>1</v>
      </c>
      <c r="B31" s="333" t="s">
        <v>21</v>
      </c>
      <c r="C31" s="135">
        <v>2</v>
      </c>
      <c r="D31" s="16" t="s">
        <v>72</v>
      </c>
      <c r="E31" s="36">
        <v>519417.35</v>
      </c>
      <c r="F31" s="37">
        <f t="shared" ref="F31:F33" si="2">E31/$E$33</f>
        <v>0.7387000025314634</v>
      </c>
      <c r="H31" s="30">
        <f>E31/(E5+E31)</f>
        <v>0.21100606969924907</v>
      </c>
    </row>
    <row r="32" spans="1:9" ht="16.5" customHeight="1" thickBot="1" x14ac:dyDescent="0.3">
      <c r="A32" s="302"/>
      <c r="B32" s="334"/>
      <c r="C32" s="137">
        <v>1</v>
      </c>
      <c r="D32" s="139" t="s">
        <v>73</v>
      </c>
      <c r="E32" s="140">
        <v>183733.25</v>
      </c>
      <c r="F32" s="141">
        <f t="shared" si="2"/>
        <v>0.2612999974685366</v>
      </c>
      <c r="H32" s="30">
        <f>E32/(E9+E32)</f>
        <v>0.11828908427899566</v>
      </c>
    </row>
    <row r="33" spans="1:12" ht="15.75" customHeight="1" x14ac:dyDescent="0.25">
      <c r="A33" s="143"/>
      <c r="B33" s="143"/>
      <c r="C33" s="143"/>
      <c r="D33" s="132" t="s">
        <v>69</v>
      </c>
      <c r="E33" s="145">
        <f>SUM(E31:E32)</f>
        <v>703150.6</v>
      </c>
      <c r="F33" s="146">
        <f t="shared" si="2"/>
        <v>1</v>
      </c>
    </row>
    <row r="34" spans="1:12" ht="15.75" customHeight="1" x14ac:dyDescent="0.25">
      <c r="E34" s="148"/>
      <c r="F34" s="148"/>
    </row>
    <row r="35" spans="1:12" ht="15.75" customHeight="1" x14ac:dyDescent="0.25">
      <c r="E35" s="2"/>
      <c r="F35" s="2"/>
    </row>
    <row r="36" spans="1:12" ht="16.5" customHeight="1" x14ac:dyDescent="0.25">
      <c r="D36" s="150" t="s">
        <v>74</v>
      </c>
      <c r="E36" s="7" t="s">
        <v>75</v>
      </c>
      <c r="F36" s="7" t="s">
        <v>10</v>
      </c>
    </row>
    <row r="37" spans="1:12" ht="15.75" customHeight="1" x14ac:dyDescent="0.25">
      <c r="D37" s="33" t="s">
        <v>76</v>
      </c>
      <c r="E37" s="153">
        <f>SUM(E5:E15)+E33</f>
        <v>6380824.7599999998</v>
      </c>
      <c r="F37" s="37">
        <f>E37/E40</f>
        <v>0.7828985668955506</v>
      </c>
    </row>
    <row r="38" spans="1:12" ht="15.75" customHeight="1" x14ac:dyDescent="0.25">
      <c r="D38" s="33" t="s">
        <v>79</v>
      </c>
      <c r="E38" s="153">
        <f>SUM(E16:E25)</f>
        <v>1769432.54</v>
      </c>
      <c r="F38" s="37">
        <f>E38/E40</f>
        <v>0.21710143310444935</v>
      </c>
    </row>
    <row r="39" spans="1:12" ht="15.75" customHeight="1" x14ac:dyDescent="0.25">
      <c r="E39" s="2"/>
      <c r="F39" s="2"/>
    </row>
    <row r="40" spans="1:12" ht="15.75" customHeight="1" x14ac:dyDescent="0.25">
      <c r="D40" s="160" t="s">
        <v>80</v>
      </c>
      <c r="E40" s="161">
        <f>E26+E33</f>
        <v>8150257.3000000007</v>
      </c>
    </row>
    <row r="41" spans="1:12" ht="15.75" customHeight="1" x14ac:dyDescent="0.25">
      <c r="K41" s="65"/>
      <c r="L41" s="65"/>
    </row>
    <row r="42" spans="1:12" ht="15.75" customHeight="1" x14ac:dyDescent="0.25">
      <c r="A42" s="163" t="s">
        <v>50</v>
      </c>
      <c r="B42" s="162"/>
      <c r="C42" s="162"/>
      <c r="D42" s="162"/>
      <c r="E42" s="2"/>
      <c r="F42" s="2"/>
      <c r="G42" s="2"/>
      <c r="H42" s="2"/>
      <c r="I42" s="2"/>
    </row>
    <row r="43" spans="1:12" ht="15.75" customHeight="1" x14ac:dyDescent="0.25">
      <c r="A43" s="79" t="s">
        <v>81</v>
      </c>
      <c r="B43" s="79"/>
      <c r="C43" s="79"/>
      <c r="D43" s="79"/>
      <c r="E43" s="2"/>
      <c r="F43" s="2"/>
      <c r="G43" s="2"/>
      <c r="H43" s="2"/>
      <c r="I43" s="2"/>
    </row>
    <row r="44" spans="1:12" ht="15.75" customHeight="1" x14ac:dyDescent="0.25">
      <c r="A44" s="79" t="s">
        <v>82</v>
      </c>
      <c r="B44" s="79"/>
      <c r="C44" s="79"/>
      <c r="D44" s="79"/>
      <c r="E44" s="2"/>
      <c r="F44" s="2"/>
      <c r="G44" s="2"/>
      <c r="H44" s="2"/>
      <c r="I44" s="2"/>
    </row>
    <row r="45" spans="1:12" ht="15.75" customHeight="1" x14ac:dyDescent="0.25"/>
    <row r="46" spans="1:12" ht="15.75" customHeight="1" x14ac:dyDescent="0.25"/>
    <row r="47" spans="1:12" ht="15.75" customHeight="1" x14ac:dyDescent="0.25"/>
    <row r="48" spans="1: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B16" sqref="B16:B25"/>
    </sheetView>
  </sheetViews>
  <sheetFormatPr defaultColWidth="11.25" defaultRowHeight="15" customHeight="1" x14ac:dyDescent="0.25"/>
  <cols>
    <col min="1" max="1" width="11.125" customWidth="1"/>
    <col min="2" max="2" width="9.625" customWidth="1"/>
    <col min="3" max="3" width="10.875" customWidth="1"/>
    <col min="4" max="4" width="45.625" customWidth="1"/>
    <col min="5" max="5" width="14.75" customWidth="1"/>
    <col min="6" max="6" width="9" hidden="1" customWidth="1"/>
    <col min="7" max="7" width="8" hidden="1" customWidth="1"/>
    <col min="8" max="8" width="14" customWidth="1"/>
    <col min="9" max="9" width="16.625" hidden="1" customWidth="1"/>
    <col min="10" max="11" width="10.875" hidden="1" customWidth="1"/>
    <col min="12" max="13" width="15.5" customWidth="1"/>
    <col min="14" max="14" width="11.125" customWidth="1"/>
    <col min="15" max="26" width="15.125" customWidth="1"/>
  </cols>
  <sheetData>
    <row r="1" spans="1:26" ht="18.75" customHeight="1" x14ac:dyDescent="0.3">
      <c r="A1" s="168" t="s">
        <v>87</v>
      </c>
      <c r="B1" s="2"/>
      <c r="C1" s="2"/>
      <c r="D1" s="2"/>
      <c r="E1" s="2"/>
      <c r="F1" s="2"/>
      <c r="G1" s="2"/>
      <c r="H1" s="2"/>
      <c r="I1" s="2"/>
      <c r="J1" s="2"/>
      <c r="K1" s="2"/>
      <c r="L1" s="2"/>
      <c r="M1" s="2"/>
      <c r="N1" s="2"/>
      <c r="O1" s="2"/>
      <c r="P1" s="2"/>
      <c r="Q1" s="2"/>
      <c r="R1" s="2"/>
      <c r="S1" s="2"/>
      <c r="T1" s="2"/>
      <c r="U1" s="2"/>
      <c r="V1" s="2"/>
      <c r="W1" s="2"/>
      <c r="X1" s="2"/>
      <c r="Y1" s="2"/>
      <c r="Z1" s="2"/>
    </row>
    <row r="2" spans="1:26" ht="15.75" customHeight="1" x14ac:dyDescent="0.25">
      <c r="A2" s="2"/>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c r="E3" s="2"/>
      <c r="F3" s="2"/>
      <c r="G3" s="2"/>
      <c r="H3" s="2"/>
      <c r="I3" s="2" t="s">
        <v>89</v>
      </c>
      <c r="J3" s="2"/>
      <c r="K3" s="2"/>
      <c r="L3" s="2"/>
      <c r="M3" s="2"/>
      <c r="N3" s="2"/>
      <c r="O3" s="2"/>
      <c r="P3" s="2"/>
      <c r="Q3" s="2"/>
      <c r="R3" s="2"/>
      <c r="S3" s="2"/>
      <c r="T3" s="2"/>
      <c r="U3" s="2"/>
      <c r="V3" s="2"/>
      <c r="W3" s="2"/>
      <c r="X3" s="2"/>
      <c r="Y3" s="2"/>
      <c r="Z3" s="2"/>
    </row>
    <row r="4" spans="1:26" ht="72.75" customHeight="1" x14ac:dyDescent="0.25">
      <c r="A4" s="14" t="s">
        <v>90</v>
      </c>
      <c r="B4" s="6" t="s">
        <v>6</v>
      </c>
      <c r="C4" s="5" t="s">
        <v>91</v>
      </c>
      <c r="D4" s="5" t="s">
        <v>8</v>
      </c>
      <c r="E4" s="14" t="s">
        <v>92</v>
      </c>
      <c r="F4" s="173" t="s">
        <v>62</v>
      </c>
      <c r="G4" s="173" t="s">
        <v>93</v>
      </c>
      <c r="H4" s="174" t="s">
        <v>101</v>
      </c>
      <c r="I4" s="176" t="s">
        <v>65</v>
      </c>
      <c r="J4" s="174" t="s">
        <v>66</v>
      </c>
      <c r="K4" s="174" t="s">
        <v>67</v>
      </c>
      <c r="L4" s="178" t="s">
        <v>102</v>
      </c>
      <c r="M4" s="7" t="s">
        <v>103</v>
      </c>
      <c r="N4" s="2"/>
      <c r="O4" s="2"/>
      <c r="P4" s="2"/>
      <c r="Q4" s="2"/>
      <c r="R4" s="2"/>
      <c r="S4" s="2"/>
      <c r="T4" s="2"/>
      <c r="U4" s="2"/>
      <c r="V4" s="2"/>
      <c r="W4" s="2"/>
      <c r="X4" s="2"/>
      <c r="Y4" s="2"/>
      <c r="Z4" s="2"/>
    </row>
    <row r="5" spans="1:26" ht="31.5" customHeight="1" x14ac:dyDescent="0.25">
      <c r="A5" s="350">
        <f>SUM(M5:M15)/M26</f>
        <v>0.7788343558282208</v>
      </c>
      <c r="B5" s="344" t="s">
        <v>21</v>
      </c>
      <c r="C5" s="24">
        <v>2</v>
      </c>
      <c r="D5" s="131" t="s">
        <v>22</v>
      </c>
      <c r="E5" s="180">
        <f>'FY18 Average Cost per Client'!C5</f>
        <v>2461622.79</v>
      </c>
      <c r="F5" s="182" t="e">
        <f t="shared" ref="F5:F13" si="0">#REF!/#REF!</f>
        <v>#REF!</v>
      </c>
      <c r="G5" s="184" t="e">
        <f>MROUND(#REF!*'FY18 Allocations'!H5,10000)</f>
        <v>#REF!</v>
      </c>
      <c r="H5" s="185">
        <v>2460000</v>
      </c>
      <c r="I5" s="186"/>
      <c r="J5" s="185"/>
      <c r="K5" s="185"/>
      <c r="L5" s="185">
        <v>2460000</v>
      </c>
      <c r="M5" s="185">
        <f t="shared" ref="M5:M25" si="1">ROUND((H5+L5)/2,2)</f>
        <v>2460000</v>
      </c>
      <c r="N5" s="2"/>
      <c r="O5" s="2"/>
      <c r="P5" s="2"/>
      <c r="Q5" s="2"/>
      <c r="R5" s="2"/>
      <c r="S5" s="2"/>
      <c r="T5" s="2"/>
      <c r="U5" s="2"/>
      <c r="V5" s="2"/>
      <c r="W5" s="2"/>
      <c r="X5" s="2"/>
      <c r="Y5" s="2"/>
      <c r="Z5" s="2"/>
    </row>
    <row r="6" spans="1:26" ht="15.75" customHeight="1" x14ac:dyDescent="0.25">
      <c r="A6" s="342"/>
      <c r="B6" s="342"/>
      <c r="C6" s="34">
        <v>14</v>
      </c>
      <c r="D6" s="39" t="s">
        <v>27</v>
      </c>
      <c r="E6" s="38">
        <f>'FY18 Average Cost per Client'!C6</f>
        <v>0</v>
      </c>
      <c r="F6" s="177" t="e">
        <f t="shared" si="0"/>
        <v>#REF!</v>
      </c>
      <c r="G6" s="179" t="e">
        <f t="shared" ref="G6:G7" si="2">#REF!</f>
        <v>#REF!</v>
      </c>
      <c r="H6" s="175">
        <v>0</v>
      </c>
      <c r="I6" s="189"/>
      <c r="J6" s="175"/>
      <c r="K6" s="175"/>
      <c r="L6" s="175">
        <v>0</v>
      </c>
      <c r="M6" s="175">
        <f t="shared" si="1"/>
        <v>0</v>
      </c>
      <c r="N6" s="2"/>
      <c r="O6" s="2"/>
      <c r="P6" s="2"/>
      <c r="Q6" s="2"/>
      <c r="R6" s="2"/>
      <c r="S6" s="2"/>
      <c r="T6" s="2"/>
      <c r="U6" s="2"/>
      <c r="V6" s="2"/>
      <c r="W6" s="2"/>
      <c r="X6" s="2"/>
      <c r="Y6" s="2"/>
      <c r="Z6" s="2"/>
    </row>
    <row r="7" spans="1:26" ht="15.75" customHeight="1" x14ac:dyDescent="0.25">
      <c r="A7" s="342"/>
      <c r="B7" s="342"/>
      <c r="C7" s="181" t="s">
        <v>104</v>
      </c>
      <c r="D7" s="190" t="s">
        <v>28</v>
      </c>
      <c r="E7" s="191">
        <f>'FY18 Average Cost per Client'!C7</f>
        <v>0</v>
      </c>
      <c r="F7" s="183" t="e">
        <f t="shared" si="0"/>
        <v>#REF!</v>
      </c>
      <c r="G7" s="103" t="e">
        <f t="shared" si="2"/>
        <v>#REF!</v>
      </c>
      <c r="H7" s="103">
        <v>0</v>
      </c>
      <c r="I7" s="103"/>
      <c r="J7" s="103"/>
      <c r="K7" s="103"/>
      <c r="L7" s="103">
        <v>0</v>
      </c>
      <c r="M7" s="103">
        <f t="shared" si="1"/>
        <v>0</v>
      </c>
      <c r="N7" s="2"/>
      <c r="O7" s="2"/>
      <c r="P7" s="2"/>
      <c r="Q7" s="2"/>
      <c r="R7" s="2"/>
      <c r="S7" s="2"/>
      <c r="T7" s="2"/>
      <c r="U7" s="2"/>
      <c r="V7" s="2"/>
      <c r="W7" s="2"/>
      <c r="X7" s="2"/>
      <c r="Y7" s="2"/>
      <c r="Z7" s="2"/>
    </row>
    <row r="8" spans="1:26" ht="16.5" customHeight="1" x14ac:dyDescent="0.25">
      <c r="A8" s="342"/>
      <c r="B8" s="342"/>
      <c r="C8" s="34">
        <v>17</v>
      </c>
      <c r="D8" s="39" t="s">
        <v>29</v>
      </c>
      <c r="E8" s="38">
        <f>'FY18 Average Cost per Client'!C8</f>
        <v>0</v>
      </c>
      <c r="F8" s="177" t="e">
        <f t="shared" si="0"/>
        <v>#REF!</v>
      </c>
      <c r="G8" s="179" t="e">
        <f>MROUND(#REF!*'FY18 Allocations'!H8,10000)</f>
        <v>#REF!</v>
      </c>
      <c r="H8" s="175">
        <v>0</v>
      </c>
      <c r="I8" s="189"/>
      <c r="J8" s="175"/>
      <c r="K8" s="175"/>
      <c r="L8" s="175">
        <v>0</v>
      </c>
      <c r="M8" s="175">
        <f t="shared" si="1"/>
        <v>0</v>
      </c>
      <c r="N8" s="2"/>
      <c r="O8" s="2"/>
      <c r="P8" s="2"/>
      <c r="Q8" s="2"/>
      <c r="R8" s="2"/>
      <c r="S8" s="2"/>
      <c r="T8" s="2"/>
      <c r="U8" s="2"/>
      <c r="V8" s="2"/>
      <c r="W8" s="2"/>
      <c r="X8" s="2"/>
      <c r="Y8" s="2"/>
      <c r="Z8" s="2"/>
    </row>
    <row r="9" spans="1:26" ht="15.75" customHeight="1" x14ac:dyDescent="0.25">
      <c r="A9" s="342"/>
      <c r="B9" s="342"/>
      <c r="C9" s="41">
        <v>1</v>
      </c>
      <c r="D9" s="43" t="s">
        <v>31</v>
      </c>
      <c r="E9" s="142">
        <f>'FY18 Average Cost per Client'!C9</f>
        <v>1553256.17</v>
      </c>
      <c r="F9" s="193" t="e">
        <f t="shared" si="0"/>
        <v>#REF!</v>
      </c>
      <c r="G9" s="195" t="e">
        <f t="shared" ref="G9:G13" si="3">#REF!</f>
        <v>#REF!</v>
      </c>
      <c r="H9" s="196">
        <v>1500000</v>
      </c>
      <c r="I9" s="197"/>
      <c r="J9" s="196"/>
      <c r="K9" s="196"/>
      <c r="L9" s="196">
        <v>1550000</v>
      </c>
      <c r="M9" s="196">
        <f t="shared" si="1"/>
        <v>1525000</v>
      </c>
      <c r="N9" s="2"/>
      <c r="O9" s="2"/>
      <c r="P9" s="2"/>
      <c r="Q9" s="2"/>
      <c r="R9" s="2"/>
      <c r="S9" s="2"/>
      <c r="T9" s="2"/>
      <c r="U9" s="2"/>
      <c r="V9" s="2"/>
      <c r="W9" s="2"/>
      <c r="X9" s="2"/>
      <c r="Y9" s="2"/>
      <c r="Z9" s="2"/>
    </row>
    <row r="10" spans="1:26" ht="15.75" customHeight="1" x14ac:dyDescent="0.25">
      <c r="A10" s="342"/>
      <c r="B10" s="342"/>
      <c r="C10" s="34">
        <v>10</v>
      </c>
      <c r="D10" s="39" t="s">
        <v>32</v>
      </c>
      <c r="E10" s="38">
        <f>'FY18 Average Cost per Client'!C10</f>
        <v>4468.26</v>
      </c>
      <c r="F10" s="177" t="e">
        <f t="shared" si="0"/>
        <v>#REF!</v>
      </c>
      <c r="G10" s="179" t="e">
        <f t="shared" si="3"/>
        <v>#REF!</v>
      </c>
      <c r="H10" s="175">
        <v>5000</v>
      </c>
      <c r="I10" s="189"/>
      <c r="J10" s="175"/>
      <c r="K10" s="175"/>
      <c r="L10" s="175">
        <v>5000</v>
      </c>
      <c r="M10" s="175">
        <f t="shared" si="1"/>
        <v>5000</v>
      </c>
      <c r="N10" s="2"/>
      <c r="O10" s="2"/>
      <c r="P10" s="2"/>
      <c r="Q10" s="2"/>
      <c r="R10" s="2"/>
      <c r="S10" s="2"/>
      <c r="T10" s="2"/>
      <c r="U10" s="2"/>
      <c r="V10" s="2"/>
      <c r="W10" s="2"/>
      <c r="X10" s="2"/>
      <c r="Y10" s="2"/>
      <c r="Z10" s="2"/>
    </row>
    <row r="11" spans="1:26" ht="15.75" customHeight="1" x14ac:dyDescent="0.25">
      <c r="A11" s="342"/>
      <c r="B11" s="342"/>
      <c r="C11" s="34">
        <v>16</v>
      </c>
      <c r="D11" s="39" t="s">
        <v>33</v>
      </c>
      <c r="E11" s="38">
        <f>'FY18 Average Cost per Client'!C11</f>
        <v>18617.77</v>
      </c>
      <c r="F11" s="177" t="e">
        <f t="shared" si="0"/>
        <v>#REF!</v>
      </c>
      <c r="G11" s="179" t="e">
        <f t="shared" si="3"/>
        <v>#REF!</v>
      </c>
      <c r="H11" s="175">
        <v>20000</v>
      </c>
      <c r="I11" s="189"/>
      <c r="J11" s="175"/>
      <c r="K11" s="175"/>
      <c r="L11" s="175">
        <v>20000</v>
      </c>
      <c r="M11" s="175">
        <f t="shared" si="1"/>
        <v>20000</v>
      </c>
      <c r="N11" s="2"/>
      <c r="O11" s="2"/>
      <c r="P11" s="2"/>
      <c r="Q11" s="2"/>
      <c r="R11" s="2"/>
      <c r="S11" s="2"/>
      <c r="T11" s="2"/>
      <c r="U11" s="2"/>
      <c r="V11" s="2"/>
      <c r="W11" s="2"/>
      <c r="X11" s="2"/>
      <c r="Y11" s="2"/>
      <c r="Z11" s="2"/>
    </row>
    <row r="12" spans="1:26" ht="15.75" customHeight="1" x14ac:dyDescent="0.25">
      <c r="A12" s="342"/>
      <c r="B12" s="342"/>
      <c r="C12" s="34">
        <v>20</v>
      </c>
      <c r="D12" s="39" t="s">
        <v>106</v>
      </c>
      <c r="E12" s="38">
        <f>'FY18 Average Cost per Client'!C12</f>
        <v>0</v>
      </c>
      <c r="F12" s="177" t="e">
        <f t="shared" si="0"/>
        <v>#REF!</v>
      </c>
      <c r="G12" s="179" t="e">
        <f t="shared" si="3"/>
        <v>#REF!</v>
      </c>
      <c r="H12" s="175">
        <v>0</v>
      </c>
      <c r="I12" s="189"/>
      <c r="J12" s="175"/>
      <c r="K12" s="175"/>
      <c r="L12" s="175">
        <v>0</v>
      </c>
      <c r="M12" s="175">
        <f t="shared" si="1"/>
        <v>0</v>
      </c>
      <c r="N12" s="2"/>
      <c r="O12" s="2"/>
      <c r="P12" s="2"/>
      <c r="Q12" s="2"/>
      <c r="R12" s="2"/>
      <c r="S12" s="2"/>
      <c r="T12" s="2"/>
      <c r="U12" s="2"/>
      <c r="V12" s="2"/>
      <c r="W12" s="2"/>
      <c r="X12" s="2"/>
      <c r="Y12" s="2"/>
      <c r="Z12" s="2"/>
    </row>
    <row r="13" spans="1:26" ht="15.75" customHeight="1" x14ac:dyDescent="0.25">
      <c r="A13" s="342"/>
      <c r="B13" s="342"/>
      <c r="C13" s="34">
        <v>8</v>
      </c>
      <c r="D13" s="39" t="s">
        <v>35</v>
      </c>
      <c r="E13" s="38">
        <f>'FY18 Average Cost per Client'!C13</f>
        <v>190645.93</v>
      </c>
      <c r="F13" s="177" t="e">
        <f t="shared" si="0"/>
        <v>#REF!</v>
      </c>
      <c r="G13" s="179" t="e">
        <f t="shared" si="3"/>
        <v>#REF!</v>
      </c>
      <c r="H13" s="175">
        <v>195000</v>
      </c>
      <c r="I13" s="189"/>
      <c r="J13" s="175"/>
      <c r="K13" s="175"/>
      <c r="L13" s="175">
        <v>180000</v>
      </c>
      <c r="M13" s="175">
        <f t="shared" si="1"/>
        <v>187500</v>
      </c>
      <c r="N13" s="2"/>
      <c r="O13" s="2"/>
      <c r="P13" s="2"/>
      <c r="Q13" s="2"/>
      <c r="R13" s="2"/>
      <c r="S13" s="2"/>
      <c r="T13" s="2"/>
      <c r="U13" s="2"/>
      <c r="V13" s="2"/>
      <c r="W13" s="2"/>
      <c r="X13" s="2"/>
      <c r="Y13" s="2"/>
      <c r="Z13" s="2"/>
    </row>
    <row r="14" spans="1:26" ht="15.75" customHeight="1" x14ac:dyDescent="0.25">
      <c r="A14" s="342"/>
      <c r="B14" s="342"/>
      <c r="C14" s="198">
        <v>12</v>
      </c>
      <c r="D14" s="39" t="s">
        <v>36</v>
      </c>
      <c r="E14" s="38">
        <f>'FY18 Average Cost per Client'!C14</f>
        <v>247243.94</v>
      </c>
      <c r="F14" s="37"/>
      <c r="G14" s="175"/>
      <c r="H14" s="175">
        <v>250000</v>
      </c>
      <c r="I14" s="175"/>
      <c r="J14" s="175"/>
      <c r="K14" s="175"/>
      <c r="L14" s="175">
        <v>250000</v>
      </c>
      <c r="M14" s="175">
        <f t="shared" si="1"/>
        <v>250000</v>
      </c>
      <c r="N14" s="2"/>
      <c r="O14" s="2"/>
      <c r="P14" s="2"/>
      <c r="Q14" s="2"/>
      <c r="R14" s="2"/>
      <c r="S14" s="2"/>
      <c r="T14" s="2"/>
      <c r="U14" s="2"/>
      <c r="V14" s="2"/>
      <c r="W14" s="2"/>
      <c r="X14" s="2"/>
      <c r="Y14" s="2"/>
      <c r="Z14" s="2"/>
    </row>
    <row r="15" spans="1:26" ht="16.5" customHeight="1" x14ac:dyDescent="0.25">
      <c r="A15" s="343"/>
      <c r="B15" s="343"/>
      <c r="C15" s="137">
        <v>4</v>
      </c>
      <c r="D15" s="7" t="s">
        <v>37</v>
      </c>
      <c r="E15" s="126">
        <f>'FY18 Average Cost per Client'!C15</f>
        <v>1904969.9</v>
      </c>
      <c r="F15" s="7"/>
      <c r="G15" s="7"/>
      <c r="H15" s="178">
        <v>1900000</v>
      </c>
      <c r="I15" s="7"/>
      <c r="J15" s="7"/>
      <c r="K15" s="7"/>
      <c r="L15" s="178">
        <v>1900000</v>
      </c>
      <c r="M15" s="178">
        <f t="shared" si="1"/>
        <v>1900000</v>
      </c>
      <c r="N15" s="2"/>
      <c r="O15" s="2"/>
      <c r="P15" s="2"/>
      <c r="Q15" s="2"/>
      <c r="R15" s="2"/>
      <c r="S15" s="2"/>
      <c r="T15" s="2"/>
      <c r="U15" s="2"/>
      <c r="V15" s="2"/>
      <c r="W15" s="2"/>
      <c r="X15" s="2"/>
      <c r="Y15" s="2"/>
      <c r="Z15" s="2"/>
    </row>
    <row r="16" spans="1:26" ht="15.75" customHeight="1" x14ac:dyDescent="0.25">
      <c r="A16" s="350">
        <f>SUM(M16:M25)/M26</f>
        <v>0.22116564417177914</v>
      </c>
      <c r="B16" s="344" t="s">
        <v>39</v>
      </c>
      <c r="C16" s="24">
        <v>11</v>
      </c>
      <c r="D16" s="131" t="s">
        <v>40</v>
      </c>
      <c r="E16" s="20">
        <f>'FY18 Average Cost per Client'!C16</f>
        <v>116174.86</v>
      </c>
      <c r="F16" s="201" t="e">
        <f t="shared" ref="F16:F25" si="4">#REF!/#REF!</f>
        <v>#REF!</v>
      </c>
      <c r="G16" s="202" t="e">
        <f t="shared" ref="G16:G25" si="5">#REF!</f>
        <v>#REF!</v>
      </c>
      <c r="H16" s="200">
        <v>120000</v>
      </c>
      <c r="I16" s="204"/>
      <c r="J16" s="200"/>
      <c r="K16" s="200"/>
      <c r="L16" s="200">
        <v>115000</v>
      </c>
      <c r="M16" s="200">
        <f t="shared" si="1"/>
        <v>117500</v>
      </c>
      <c r="N16" s="2"/>
      <c r="O16" s="2"/>
      <c r="P16" s="2"/>
      <c r="Q16" s="2"/>
      <c r="R16" s="2"/>
      <c r="S16" s="2"/>
      <c r="T16" s="2"/>
      <c r="U16" s="2"/>
      <c r="V16" s="2"/>
      <c r="W16" s="2"/>
      <c r="X16" s="2"/>
      <c r="Y16" s="2"/>
      <c r="Z16" s="2"/>
    </row>
    <row r="17" spans="1:26" ht="15.75" customHeight="1" x14ac:dyDescent="0.25">
      <c r="A17" s="342"/>
      <c r="B17" s="342"/>
      <c r="C17" s="24">
        <v>15</v>
      </c>
      <c r="D17" s="39" t="s">
        <v>41</v>
      </c>
      <c r="E17" s="38">
        <f>'FY18 Average Cost per Client'!C17</f>
        <v>0</v>
      </c>
      <c r="F17" s="177" t="e">
        <f t="shared" si="4"/>
        <v>#REF!</v>
      </c>
      <c r="G17" s="179" t="e">
        <f t="shared" si="5"/>
        <v>#REF!</v>
      </c>
      <c r="H17" s="175">
        <v>0</v>
      </c>
      <c r="I17" s="189"/>
      <c r="J17" s="175"/>
      <c r="K17" s="175"/>
      <c r="L17" s="175">
        <v>0</v>
      </c>
      <c r="M17" s="175">
        <f t="shared" si="1"/>
        <v>0</v>
      </c>
      <c r="N17" s="2"/>
      <c r="O17" s="2"/>
      <c r="P17" s="2"/>
      <c r="Q17" s="2"/>
      <c r="R17" s="2"/>
      <c r="S17" s="2"/>
      <c r="T17" s="2"/>
      <c r="U17" s="2"/>
      <c r="V17" s="2"/>
      <c r="W17" s="2"/>
      <c r="X17" s="2"/>
      <c r="Y17" s="2"/>
      <c r="Z17" s="2"/>
    </row>
    <row r="18" spans="1:26" ht="15.75" customHeight="1" x14ac:dyDescent="0.25">
      <c r="A18" s="342"/>
      <c r="B18" s="342"/>
      <c r="C18" s="24">
        <v>5</v>
      </c>
      <c r="D18" s="39" t="s">
        <v>42</v>
      </c>
      <c r="E18" s="38">
        <f>'FY18 Average Cost per Client'!C18</f>
        <v>460975.9</v>
      </c>
      <c r="F18" s="177" t="e">
        <f t="shared" si="4"/>
        <v>#REF!</v>
      </c>
      <c r="G18" s="179" t="e">
        <f t="shared" si="5"/>
        <v>#REF!</v>
      </c>
      <c r="H18" s="175">
        <v>470000</v>
      </c>
      <c r="I18" s="189"/>
      <c r="J18" s="175"/>
      <c r="K18" s="175"/>
      <c r="L18" s="175">
        <v>460000</v>
      </c>
      <c r="M18" s="175">
        <f t="shared" si="1"/>
        <v>465000</v>
      </c>
      <c r="N18" s="2"/>
      <c r="O18" s="2"/>
      <c r="P18" s="2"/>
      <c r="Q18" s="2"/>
      <c r="R18" s="2"/>
      <c r="S18" s="2"/>
      <c r="T18" s="2"/>
      <c r="U18" s="2"/>
      <c r="V18" s="2"/>
      <c r="W18" s="2"/>
      <c r="X18" s="2"/>
      <c r="Y18" s="2"/>
      <c r="Z18" s="2"/>
    </row>
    <row r="19" spans="1:26" ht="15.75" customHeight="1" x14ac:dyDescent="0.25">
      <c r="A19" s="342"/>
      <c r="B19" s="342"/>
      <c r="C19" s="24">
        <v>6</v>
      </c>
      <c r="D19" s="39" t="s">
        <v>43</v>
      </c>
      <c r="E19" s="38">
        <f>'FY18 Average Cost per Client'!C19</f>
        <v>330651.53999999998</v>
      </c>
      <c r="F19" s="177" t="e">
        <f t="shared" si="4"/>
        <v>#REF!</v>
      </c>
      <c r="G19" s="179" t="e">
        <f t="shared" si="5"/>
        <v>#REF!</v>
      </c>
      <c r="H19" s="175">
        <v>340000</v>
      </c>
      <c r="I19" s="189"/>
      <c r="J19" s="175"/>
      <c r="K19" s="175"/>
      <c r="L19" s="175">
        <v>330000</v>
      </c>
      <c r="M19" s="175">
        <f t="shared" si="1"/>
        <v>335000</v>
      </c>
      <c r="N19" s="2"/>
      <c r="O19" s="2"/>
      <c r="P19" s="2"/>
      <c r="Q19" s="2"/>
      <c r="R19" s="2"/>
      <c r="S19" s="2"/>
      <c r="T19" s="2"/>
      <c r="U19" s="2"/>
      <c r="V19" s="2"/>
      <c r="W19" s="2"/>
      <c r="X19" s="2"/>
      <c r="Y19" s="2"/>
      <c r="Z19" s="2"/>
    </row>
    <row r="20" spans="1:26" ht="15.75" customHeight="1" x14ac:dyDescent="0.25">
      <c r="A20" s="342"/>
      <c r="B20" s="342"/>
      <c r="C20" s="24">
        <v>9</v>
      </c>
      <c r="D20" s="39" t="s">
        <v>44</v>
      </c>
      <c r="E20" s="38">
        <f>'FY18 Average Cost per Client'!C20</f>
        <v>78939.33</v>
      </c>
      <c r="F20" s="177" t="e">
        <f t="shared" si="4"/>
        <v>#REF!</v>
      </c>
      <c r="G20" s="179" t="e">
        <f t="shared" si="5"/>
        <v>#REF!</v>
      </c>
      <c r="H20" s="175">
        <v>80000</v>
      </c>
      <c r="I20" s="189"/>
      <c r="J20" s="175"/>
      <c r="K20" s="175"/>
      <c r="L20" s="175">
        <v>80000</v>
      </c>
      <c r="M20" s="175">
        <f t="shared" si="1"/>
        <v>80000</v>
      </c>
      <c r="N20" s="2"/>
      <c r="O20" s="2"/>
      <c r="P20" s="2"/>
      <c r="Q20" s="2"/>
      <c r="R20" s="2"/>
      <c r="S20" s="2"/>
      <c r="T20" s="2"/>
      <c r="U20" s="2"/>
      <c r="V20" s="2"/>
      <c r="W20" s="2"/>
      <c r="X20" s="2"/>
      <c r="Y20" s="2"/>
      <c r="Z20" s="2"/>
    </row>
    <row r="21" spans="1:26" ht="15.75" customHeight="1" x14ac:dyDescent="0.25">
      <c r="A21" s="342"/>
      <c r="B21" s="342"/>
      <c r="C21" s="24">
        <v>18</v>
      </c>
      <c r="D21" s="39" t="s">
        <v>45</v>
      </c>
      <c r="E21" s="38">
        <f>'FY18 Average Cost per Client'!C21</f>
        <v>0</v>
      </c>
      <c r="F21" s="177" t="e">
        <f t="shared" si="4"/>
        <v>#REF!</v>
      </c>
      <c r="G21" s="179" t="e">
        <f t="shared" si="5"/>
        <v>#REF!</v>
      </c>
      <c r="H21" s="175">
        <v>0</v>
      </c>
      <c r="I21" s="189"/>
      <c r="J21" s="175"/>
      <c r="K21" s="175"/>
      <c r="L21" s="175">
        <v>0</v>
      </c>
      <c r="M21" s="175">
        <f t="shared" si="1"/>
        <v>0</v>
      </c>
      <c r="N21" s="2"/>
      <c r="O21" s="2"/>
      <c r="P21" s="2"/>
      <c r="Q21" s="2"/>
      <c r="R21" s="2"/>
      <c r="S21" s="2"/>
      <c r="T21" s="2"/>
      <c r="U21" s="2"/>
      <c r="V21" s="2"/>
      <c r="W21" s="2"/>
      <c r="X21" s="2"/>
      <c r="Y21" s="2"/>
      <c r="Z21" s="2"/>
    </row>
    <row r="22" spans="1:26" ht="15.75" customHeight="1" x14ac:dyDescent="0.25">
      <c r="A22" s="342"/>
      <c r="B22" s="342"/>
      <c r="C22" s="34">
        <v>3</v>
      </c>
      <c r="D22" s="39" t="s">
        <v>46</v>
      </c>
      <c r="E22" s="38">
        <f>'FY18 Average Cost per Client'!C22</f>
        <v>689602.08</v>
      </c>
      <c r="F22" s="177" t="e">
        <f t="shared" si="4"/>
        <v>#REF!</v>
      </c>
      <c r="G22" s="179" t="e">
        <f t="shared" si="5"/>
        <v>#REF!</v>
      </c>
      <c r="H22" s="175">
        <v>690000</v>
      </c>
      <c r="I22" s="189"/>
      <c r="J22" s="175"/>
      <c r="K22" s="175"/>
      <c r="L22" s="175">
        <v>700000</v>
      </c>
      <c r="M22" s="175">
        <f t="shared" si="1"/>
        <v>695000</v>
      </c>
      <c r="N22" s="2"/>
      <c r="O22" s="2"/>
      <c r="P22" s="2"/>
      <c r="Q22" s="2"/>
      <c r="R22" s="2"/>
      <c r="S22" s="2"/>
      <c r="T22" s="2"/>
      <c r="U22" s="2"/>
      <c r="V22" s="2"/>
      <c r="W22" s="2"/>
      <c r="X22" s="2"/>
      <c r="Y22" s="2"/>
      <c r="Z22" s="2"/>
    </row>
    <row r="23" spans="1:26" ht="15.75" customHeight="1" x14ac:dyDescent="0.25">
      <c r="A23" s="342"/>
      <c r="B23" s="342"/>
      <c r="C23" s="34">
        <v>13</v>
      </c>
      <c r="D23" s="39" t="s">
        <v>47</v>
      </c>
      <c r="E23" s="38">
        <f>'FY18 Average Cost per Client'!C23</f>
        <v>23086.03</v>
      </c>
      <c r="F23" s="177" t="e">
        <f t="shared" si="4"/>
        <v>#REF!</v>
      </c>
      <c r="G23" s="179" t="e">
        <f t="shared" si="5"/>
        <v>#REF!</v>
      </c>
      <c r="H23" s="175">
        <v>30000</v>
      </c>
      <c r="I23" s="189"/>
      <c r="J23" s="175"/>
      <c r="K23" s="175"/>
      <c r="L23" s="175">
        <v>30000</v>
      </c>
      <c r="M23" s="175">
        <f t="shared" si="1"/>
        <v>30000</v>
      </c>
      <c r="N23" s="2"/>
      <c r="O23" s="2"/>
      <c r="P23" s="2"/>
      <c r="Q23" s="2"/>
      <c r="R23" s="2"/>
      <c r="S23" s="2"/>
      <c r="T23" s="2"/>
      <c r="U23" s="2"/>
      <c r="V23" s="2"/>
      <c r="W23" s="2"/>
      <c r="X23" s="2"/>
      <c r="Y23" s="2"/>
      <c r="Z23" s="2"/>
    </row>
    <row r="24" spans="1:26" ht="15.75" customHeight="1" x14ac:dyDescent="0.25">
      <c r="A24" s="342"/>
      <c r="B24" s="342"/>
      <c r="C24" s="206">
        <v>7</v>
      </c>
      <c r="D24" s="43" t="s">
        <v>48</v>
      </c>
      <c r="E24" s="142">
        <f>'FY18 Average Cost per Client'!C24</f>
        <v>70002.8</v>
      </c>
      <c r="F24" s="193" t="e">
        <f t="shared" si="4"/>
        <v>#REF!</v>
      </c>
      <c r="G24" s="195" t="e">
        <f t="shared" si="5"/>
        <v>#REF!</v>
      </c>
      <c r="H24" s="196">
        <v>90000</v>
      </c>
      <c r="I24" s="197"/>
      <c r="J24" s="196"/>
      <c r="K24" s="196"/>
      <c r="L24" s="196">
        <v>70000</v>
      </c>
      <c r="M24" s="196">
        <f t="shared" si="1"/>
        <v>80000</v>
      </c>
      <c r="N24" s="2"/>
      <c r="O24" s="2"/>
      <c r="P24" s="2"/>
      <c r="Q24" s="2"/>
      <c r="R24" s="2"/>
      <c r="S24" s="2"/>
      <c r="T24" s="2"/>
      <c r="U24" s="2"/>
      <c r="V24" s="2"/>
      <c r="W24" s="2"/>
      <c r="X24" s="2"/>
      <c r="Y24" s="2"/>
      <c r="Z24" s="2"/>
    </row>
    <row r="25" spans="1:26" ht="15.75" customHeight="1" x14ac:dyDescent="0.25">
      <c r="A25" s="342"/>
      <c r="B25" s="342"/>
      <c r="C25" s="137">
        <v>19</v>
      </c>
      <c r="D25" s="139" t="s">
        <v>49</v>
      </c>
      <c r="E25" s="126">
        <f>'FY18 Average Cost per Client'!C25</f>
        <v>0</v>
      </c>
      <c r="F25" s="209" t="e">
        <f t="shared" si="4"/>
        <v>#REF!</v>
      </c>
      <c r="G25" s="210" t="e">
        <f t="shared" si="5"/>
        <v>#REF!</v>
      </c>
      <c r="H25" s="178">
        <v>0</v>
      </c>
      <c r="I25" s="213"/>
      <c r="J25" s="178"/>
      <c r="K25" s="178"/>
      <c r="L25" s="178">
        <v>0</v>
      </c>
      <c r="M25" s="178">
        <f t="shared" si="1"/>
        <v>0</v>
      </c>
      <c r="N25" s="2"/>
      <c r="O25" s="2"/>
      <c r="P25" s="2"/>
      <c r="Q25" s="2"/>
      <c r="R25" s="2"/>
      <c r="S25" s="2"/>
      <c r="T25" s="2"/>
      <c r="U25" s="2"/>
      <c r="V25" s="2"/>
      <c r="W25" s="2"/>
      <c r="X25" s="2"/>
      <c r="Y25" s="2"/>
      <c r="Z25" s="2"/>
    </row>
    <row r="26" spans="1:26" ht="15.75" customHeight="1" x14ac:dyDescent="0.25">
      <c r="A26" s="129"/>
      <c r="B26" s="130"/>
      <c r="C26" s="143"/>
      <c r="D26" s="149" t="s">
        <v>108</v>
      </c>
      <c r="E26" s="216">
        <f t="shared" ref="E26:M26" si="6">SUM(E5:E25)</f>
        <v>8150257.3000000007</v>
      </c>
      <c r="F26" s="216" t="e">
        <f t="shared" si="6"/>
        <v>#REF!</v>
      </c>
      <c r="G26" s="216" t="e">
        <f t="shared" si="6"/>
        <v>#REF!</v>
      </c>
      <c r="H26" s="216">
        <f t="shared" si="6"/>
        <v>8150000</v>
      </c>
      <c r="I26" s="216">
        <f t="shared" si="6"/>
        <v>0</v>
      </c>
      <c r="J26" s="216">
        <f t="shared" si="6"/>
        <v>0</v>
      </c>
      <c r="K26" s="216">
        <f t="shared" si="6"/>
        <v>0</v>
      </c>
      <c r="L26" s="216">
        <f t="shared" si="6"/>
        <v>8150000</v>
      </c>
      <c r="M26" s="216">
        <f t="shared" si="6"/>
        <v>8150000</v>
      </c>
      <c r="N26" s="3"/>
      <c r="O26" s="2"/>
      <c r="P26" s="2"/>
      <c r="Q26" s="2"/>
      <c r="R26" s="2"/>
      <c r="S26" s="2"/>
      <c r="T26" s="2"/>
      <c r="U26" s="2"/>
      <c r="V26" s="2"/>
      <c r="W26" s="2"/>
      <c r="X26" s="2"/>
      <c r="Y26" s="2"/>
      <c r="Z26" s="2"/>
    </row>
    <row r="27" spans="1:26" ht="15.75" customHeight="1" x14ac:dyDescent="0.25">
      <c r="A27" s="2"/>
      <c r="B27" s="2"/>
      <c r="C27" s="2"/>
      <c r="D27" s="218" t="s">
        <v>109</v>
      </c>
      <c r="E27" s="220">
        <f t="shared" ref="E27:M27" si="7">MROUND(E26,10000)</f>
        <v>8150000</v>
      </c>
      <c r="F27" s="220" t="e">
        <f t="shared" si="7"/>
        <v>#REF!</v>
      </c>
      <c r="G27" s="220" t="e">
        <f t="shared" si="7"/>
        <v>#REF!</v>
      </c>
      <c r="H27" s="220">
        <f t="shared" si="7"/>
        <v>8150000</v>
      </c>
      <c r="I27" s="220">
        <f t="shared" si="7"/>
        <v>0</v>
      </c>
      <c r="J27" s="220">
        <f t="shared" si="7"/>
        <v>0</v>
      </c>
      <c r="K27" s="220">
        <f t="shared" si="7"/>
        <v>0</v>
      </c>
      <c r="L27" s="220">
        <f t="shared" si="7"/>
        <v>8150000</v>
      </c>
      <c r="M27" s="220">
        <f t="shared" si="7"/>
        <v>8150000</v>
      </c>
      <c r="N27" s="2"/>
      <c r="O27" s="2"/>
      <c r="P27" s="2"/>
      <c r="Q27" s="2"/>
      <c r="R27" s="2"/>
      <c r="S27" s="2"/>
      <c r="T27" s="2"/>
      <c r="U27" s="2"/>
      <c r="V27" s="2"/>
      <c r="W27" s="2"/>
      <c r="X27" s="2"/>
      <c r="Y27" s="2"/>
      <c r="Z27" s="2"/>
    </row>
    <row r="28" spans="1:26" ht="15.75" customHeight="1" x14ac:dyDescent="0.25">
      <c r="A28" s="2"/>
      <c r="B28" s="2"/>
      <c r="C28" s="2"/>
      <c r="D28" s="2"/>
      <c r="E28" s="2"/>
      <c r="F28" s="165"/>
      <c r="G28" s="138" t="e">
        <f>G27+#REF!</f>
        <v>#REF!</v>
      </c>
      <c r="H28" s="138"/>
      <c r="I28" s="9"/>
      <c r="J28" s="166"/>
      <c r="K28" s="30"/>
      <c r="L28" s="2"/>
      <c r="M28" s="2"/>
      <c r="N28" s="2"/>
      <c r="O28" s="2"/>
      <c r="P28" s="2"/>
      <c r="Q28" s="2"/>
      <c r="R28" s="2"/>
      <c r="S28" s="2"/>
      <c r="T28" s="2"/>
      <c r="U28" s="2"/>
      <c r="V28" s="2"/>
      <c r="W28" s="2"/>
      <c r="X28" s="2"/>
      <c r="Y28" s="2"/>
      <c r="Z28" s="2"/>
    </row>
    <row r="29" spans="1:26" ht="15.75" customHeight="1" x14ac:dyDescent="0.25">
      <c r="A29" s="2"/>
      <c r="B29" s="2"/>
      <c r="C29" s="2"/>
      <c r="D29" s="221" t="s">
        <v>110</v>
      </c>
      <c r="E29" s="138">
        <f>MROUND('FY18 Allocations'!E40,10000)</f>
        <v>8150000</v>
      </c>
      <c r="F29" s="165"/>
      <c r="G29" s="165"/>
      <c r="H29" s="138">
        <f>E29</f>
        <v>8150000</v>
      </c>
      <c r="I29" s="9"/>
      <c r="J29" s="166"/>
      <c r="K29" s="30"/>
      <c r="L29" s="138">
        <f>E29</f>
        <v>8150000</v>
      </c>
      <c r="M29" s="138">
        <f>E29</f>
        <v>8150000</v>
      </c>
      <c r="N29" s="2"/>
      <c r="O29" s="2"/>
      <c r="P29" s="2"/>
      <c r="Q29" s="2"/>
      <c r="R29" s="2"/>
      <c r="S29" s="2"/>
      <c r="T29" s="2"/>
      <c r="U29" s="2"/>
      <c r="V29" s="2"/>
      <c r="W29" s="2"/>
      <c r="X29" s="2"/>
      <c r="Y29" s="2"/>
      <c r="Z29" s="2"/>
    </row>
    <row r="30" spans="1:26" ht="15.75" customHeight="1" x14ac:dyDescent="0.25">
      <c r="A30" s="2"/>
      <c r="B30" s="2"/>
      <c r="C30" s="2"/>
      <c r="D30" s="67"/>
      <c r="E30" s="138"/>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67" t="s">
        <v>111</v>
      </c>
      <c r="E31" s="138">
        <f t="shared" ref="E31:M31" si="8">E27-E29</f>
        <v>0</v>
      </c>
      <c r="F31" s="138" t="e">
        <f t="shared" si="8"/>
        <v>#REF!</v>
      </c>
      <c r="G31" s="138" t="e">
        <f t="shared" si="8"/>
        <v>#REF!</v>
      </c>
      <c r="H31" s="138">
        <f t="shared" si="8"/>
        <v>0</v>
      </c>
      <c r="I31" s="138">
        <f t="shared" si="8"/>
        <v>0</v>
      </c>
      <c r="J31" s="138">
        <f t="shared" si="8"/>
        <v>0</v>
      </c>
      <c r="K31" s="138">
        <f t="shared" si="8"/>
        <v>0</v>
      </c>
      <c r="L31" s="138">
        <f t="shared" si="8"/>
        <v>0</v>
      </c>
      <c r="M31" s="138">
        <f t="shared" si="8"/>
        <v>0</v>
      </c>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9"/>
      <c r="F33" s="9"/>
      <c r="G33" s="9"/>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3" workbookViewId="0">
      <selection activeCell="B31" sqref="B31:B32"/>
    </sheetView>
  </sheetViews>
  <sheetFormatPr defaultColWidth="11.25" defaultRowHeight="15" customHeight="1" x14ac:dyDescent="0.25"/>
  <cols>
    <col min="1" max="1" width="11.125" customWidth="1"/>
    <col min="2" max="2" width="9.625" customWidth="1"/>
    <col min="3" max="3" width="10.875" customWidth="1"/>
    <col min="4" max="4" width="47.625" customWidth="1"/>
    <col min="5" max="5" width="17.5" customWidth="1"/>
    <col min="6" max="6" width="9.125" customWidth="1"/>
    <col min="7" max="7" width="7.875" customWidth="1"/>
    <col min="8" max="8" width="15" hidden="1" customWidth="1"/>
    <col min="9" max="10" width="10.875" hidden="1" customWidth="1"/>
    <col min="11" max="11" width="15.125" hidden="1" customWidth="1"/>
    <col min="12" max="12" width="15.625" customWidth="1"/>
    <col min="13" max="14" width="11.125" customWidth="1"/>
    <col min="15" max="26" width="15.125" customWidth="1"/>
  </cols>
  <sheetData>
    <row r="1" spans="1:26" ht="18.75" customHeight="1" x14ac:dyDescent="0.3">
      <c r="A1" s="168" t="s">
        <v>116</v>
      </c>
      <c r="B1" s="2"/>
      <c r="C1" s="2"/>
      <c r="D1" s="2"/>
      <c r="E1" s="2"/>
      <c r="F1" s="2"/>
      <c r="G1" s="2"/>
      <c r="H1" s="2"/>
      <c r="I1" s="2"/>
      <c r="J1" s="2"/>
      <c r="K1" s="2"/>
      <c r="L1" s="2"/>
      <c r="M1" s="2"/>
      <c r="N1" s="2"/>
      <c r="O1" s="2"/>
      <c r="P1" s="2"/>
      <c r="Q1" s="2"/>
      <c r="R1" s="2"/>
      <c r="S1" s="2"/>
      <c r="T1" s="2"/>
      <c r="U1" s="2"/>
      <c r="V1" s="2"/>
      <c r="W1" s="2"/>
      <c r="X1" s="2"/>
      <c r="Y1" s="2"/>
      <c r="Z1" s="2"/>
    </row>
    <row r="2" spans="1:26" ht="18.75" customHeight="1" x14ac:dyDescent="0.3">
      <c r="A2" s="2"/>
      <c r="B2" s="168"/>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t="s">
        <v>1</v>
      </c>
      <c r="E3" s="2" t="s">
        <v>117</v>
      </c>
      <c r="F3" s="2"/>
      <c r="G3" s="2"/>
      <c r="H3" s="2" t="s">
        <v>118</v>
      </c>
      <c r="I3" s="2"/>
      <c r="J3" s="2"/>
      <c r="K3" s="2"/>
      <c r="L3" s="2"/>
      <c r="M3" s="2"/>
      <c r="N3" s="2"/>
      <c r="O3" s="2"/>
      <c r="P3" s="2"/>
      <c r="Q3" s="2"/>
      <c r="R3" s="2"/>
      <c r="S3" s="2"/>
      <c r="T3" s="2"/>
      <c r="U3" s="2"/>
      <c r="V3" s="2"/>
      <c r="W3" s="2"/>
      <c r="X3" s="2"/>
      <c r="Y3" s="2"/>
      <c r="Z3" s="2"/>
    </row>
    <row r="4" spans="1:26" ht="54" customHeight="1" x14ac:dyDescent="0.25">
      <c r="A4" s="5" t="s">
        <v>119</v>
      </c>
      <c r="B4" s="6" t="s">
        <v>6</v>
      </c>
      <c r="C4" s="5" t="s">
        <v>91</v>
      </c>
      <c r="D4" s="5" t="s">
        <v>8</v>
      </c>
      <c r="E4" s="14" t="s">
        <v>120</v>
      </c>
      <c r="F4" s="14" t="s">
        <v>121</v>
      </c>
      <c r="G4" s="23"/>
      <c r="H4" s="234" t="s">
        <v>65</v>
      </c>
      <c r="I4" s="14" t="s">
        <v>66</v>
      </c>
      <c r="J4" s="14" t="s">
        <v>67</v>
      </c>
      <c r="K4" s="2"/>
      <c r="L4" s="2"/>
      <c r="M4" s="2"/>
      <c r="N4" s="2"/>
      <c r="O4" s="2"/>
      <c r="P4" s="2"/>
      <c r="Q4" s="2"/>
      <c r="R4" s="2"/>
      <c r="S4" s="2"/>
      <c r="T4" s="2"/>
      <c r="U4" s="2"/>
      <c r="V4" s="2"/>
      <c r="W4" s="2"/>
      <c r="X4" s="2"/>
      <c r="Y4" s="2"/>
      <c r="Z4" s="2"/>
    </row>
    <row r="5" spans="1:26" ht="15.75" customHeight="1" x14ac:dyDescent="0.25">
      <c r="A5" s="350">
        <f>SUM(E5:E15)/E26</f>
        <v>0.75805369127516775</v>
      </c>
      <c r="B5" s="362" t="s">
        <v>21</v>
      </c>
      <c r="C5" s="24">
        <v>2</v>
      </c>
      <c r="D5" s="16" t="s">
        <v>26</v>
      </c>
      <c r="E5" s="185">
        <f>MROUND('WAIVER Allocation - Flat Comb'!M5*'FY18 Allocations'!H5,5000)</f>
        <v>1940000</v>
      </c>
      <c r="F5" s="236">
        <f t="shared" ref="F5:F25" si="0">ROUND(E5/$E$26,4)</f>
        <v>0.26040000000000002</v>
      </c>
      <c r="G5" s="30"/>
      <c r="H5" s="89">
        <f>'FY18 Allocations'!E5</f>
        <v>1942205.4399999999</v>
      </c>
      <c r="I5" s="89">
        <f t="shared" ref="I5:I8" si="1">E5-H5</f>
        <v>-2205.4399999999441</v>
      </c>
      <c r="J5" s="27">
        <f>I5/H5</f>
        <v>-1.1355338393038094E-3</v>
      </c>
      <c r="K5" s="2"/>
      <c r="L5" s="138"/>
      <c r="M5" s="2"/>
      <c r="N5" s="2"/>
      <c r="O5" s="2"/>
      <c r="P5" s="2"/>
      <c r="Q5" s="2"/>
      <c r="R5" s="2"/>
      <c r="S5" s="2"/>
      <c r="T5" s="2"/>
      <c r="U5" s="2"/>
      <c r="V5" s="2"/>
      <c r="W5" s="2"/>
      <c r="X5" s="2"/>
      <c r="Y5" s="2"/>
      <c r="Z5" s="2"/>
    </row>
    <row r="6" spans="1:26" ht="15.75" customHeight="1" x14ac:dyDescent="0.25">
      <c r="A6" s="342"/>
      <c r="B6" s="342"/>
      <c r="C6" s="34">
        <v>14</v>
      </c>
      <c r="D6" s="39" t="s">
        <v>27</v>
      </c>
      <c r="E6" s="175">
        <f>'WAIVER Allocation - Flat Comb'!M6</f>
        <v>0</v>
      </c>
      <c r="F6" s="37">
        <f t="shared" si="0"/>
        <v>0</v>
      </c>
      <c r="G6" s="30"/>
      <c r="H6" s="150">
        <v>0</v>
      </c>
      <c r="I6" s="89">
        <f t="shared" si="1"/>
        <v>0</v>
      </c>
      <c r="J6" s="37">
        <v>0</v>
      </c>
      <c r="K6" s="2"/>
      <c r="L6" s="2"/>
      <c r="M6" s="2"/>
      <c r="N6" s="2"/>
      <c r="O6" s="2"/>
      <c r="P6" s="2"/>
      <c r="Q6" s="2"/>
      <c r="R6" s="2"/>
      <c r="S6" s="2"/>
      <c r="T6" s="2"/>
      <c r="U6" s="2"/>
      <c r="V6" s="2"/>
      <c r="W6" s="2"/>
      <c r="X6" s="2"/>
      <c r="Y6" s="2"/>
      <c r="Z6" s="2"/>
    </row>
    <row r="7" spans="1:26" ht="15.75" customHeight="1" x14ac:dyDescent="0.25">
      <c r="A7" s="342"/>
      <c r="B7" s="342"/>
      <c r="C7" s="181" t="s">
        <v>104</v>
      </c>
      <c r="D7" s="190" t="s">
        <v>28</v>
      </c>
      <c r="E7" s="103">
        <f>'WAIVER Allocation - Flat Comb'!M7</f>
        <v>0</v>
      </c>
      <c r="F7" s="183">
        <f t="shared" si="0"/>
        <v>0</v>
      </c>
      <c r="G7" s="30"/>
      <c r="H7" s="150">
        <v>0</v>
      </c>
      <c r="I7" s="89">
        <f t="shared" si="1"/>
        <v>0</v>
      </c>
      <c r="J7" s="37">
        <v>0</v>
      </c>
      <c r="K7" s="2"/>
      <c r="L7" s="2"/>
      <c r="M7" s="2"/>
      <c r="N7" s="2"/>
      <c r="O7" s="2"/>
      <c r="P7" s="2"/>
      <c r="Q7" s="2"/>
      <c r="R7" s="2"/>
      <c r="S7" s="2"/>
      <c r="T7" s="2"/>
      <c r="U7" s="2"/>
      <c r="V7" s="2"/>
      <c r="W7" s="2"/>
      <c r="X7" s="2"/>
      <c r="Y7" s="2"/>
      <c r="Z7" s="2"/>
    </row>
    <row r="8" spans="1:26" ht="15.75" customHeight="1" x14ac:dyDescent="0.25">
      <c r="A8" s="342"/>
      <c r="B8" s="342"/>
      <c r="C8" s="34">
        <v>17</v>
      </c>
      <c r="D8" s="39" t="s">
        <v>29</v>
      </c>
      <c r="E8" s="175">
        <f>'WAIVER Allocation - Flat Comb'!M8</f>
        <v>0</v>
      </c>
      <c r="F8" s="37">
        <f t="shared" si="0"/>
        <v>0</v>
      </c>
      <c r="G8" s="30"/>
      <c r="H8" s="167">
        <f>'FY18 Allocations'!E8</f>
        <v>0</v>
      </c>
      <c r="I8" s="89">
        <f t="shared" si="1"/>
        <v>0</v>
      </c>
      <c r="J8" s="37" t="e">
        <f>I8/H8</f>
        <v>#DIV/0!</v>
      </c>
      <c r="K8" s="2"/>
      <c r="L8" s="2"/>
      <c r="M8" s="2"/>
      <c r="N8" s="2"/>
      <c r="O8" s="2"/>
      <c r="P8" s="2"/>
      <c r="Q8" s="2"/>
      <c r="R8" s="2"/>
      <c r="S8" s="2"/>
      <c r="T8" s="2"/>
      <c r="U8" s="2"/>
      <c r="V8" s="2"/>
      <c r="W8" s="2"/>
      <c r="X8" s="2"/>
      <c r="Y8" s="2"/>
      <c r="Z8" s="2"/>
    </row>
    <row r="9" spans="1:26" ht="15.75" customHeight="1" x14ac:dyDescent="0.25">
      <c r="A9" s="342"/>
      <c r="B9" s="342"/>
      <c r="C9" s="41">
        <v>1</v>
      </c>
      <c r="D9" s="43" t="s">
        <v>30</v>
      </c>
      <c r="E9" s="196">
        <f>MROUND('WAIVER Allocation - Flat Comb'!M9*'FY18 Allocations'!H9,5000)</f>
        <v>1345000</v>
      </c>
      <c r="F9" s="237">
        <f t="shared" si="0"/>
        <v>0.18049999999999999</v>
      </c>
      <c r="G9" s="30"/>
      <c r="H9" s="167"/>
      <c r="I9" s="89"/>
      <c r="J9" s="37"/>
      <c r="K9" s="2"/>
      <c r="L9" s="2"/>
      <c r="M9" s="2"/>
      <c r="N9" s="2"/>
      <c r="O9" s="2"/>
      <c r="P9" s="2"/>
      <c r="Q9" s="2"/>
      <c r="R9" s="2"/>
      <c r="S9" s="2"/>
      <c r="T9" s="2"/>
      <c r="U9" s="2"/>
      <c r="V9" s="2"/>
      <c r="W9" s="2"/>
      <c r="X9" s="2"/>
      <c r="Y9" s="2"/>
      <c r="Z9" s="2"/>
    </row>
    <row r="10" spans="1:26" ht="15.75" customHeight="1" x14ac:dyDescent="0.25">
      <c r="A10" s="342"/>
      <c r="B10" s="342"/>
      <c r="C10" s="34">
        <v>10</v>
      </c>
      <c r="D10" s="39" t="s">
        <v>32</v>
      </c>
      <c r="E10" s="175">
        <f>'WAIVER Allocation - Flat Comb'!M10</f>
        <v>5000</v>
      </c>
      <c r="F10" s="37">
        <f t="shared" si="0"/>
        <v>6.9999999999999999E-4</v>
      </c>
      <c r="G10" s="30"/>
      <c r="H10" s="167">
        <f>'FY18 Allocations'!E10</f>
        <v>4468.26</v>
      </c>
      <c r="I10" s="89">
        <f t="shared" ref="I10:I12" si="2">E10-H10</f>
        <v>531.73999999999978</v>
      </c>
      <c r="J10" s="37">
        <f t="shared" ref="J10:J12" si="3">I10/H10</f>
        <v>0.1190038180410271</v>
      </c>
      <c r="K10" s="2"/>
      <c r="L10" s="2"/>
      <c r="M10" s="2"/>
      <c r="N10" s="2"/>
      <c r="O10" s="2"/>
      <c r="P10" s="2"/>
      <c r="Q10" s="2"/>
      <c r="R10" s="2"/>
      <c r="S10" s="2"/>
      <c r="T10" s="2"/>
      <c r="U10" s="2"/>
      <c r="V10" s="2"/>
      <c r="W10" s="2"/>
      <c r="X10" s="2"/>
      <c r="Y10" s="2"/>
      <c r="Z10" s="2"/>
    </row>
    <row r="11" spans="1:26" ht="15.75" customHeight="1" x14ac:dyDescent="0.25">
      <c r="A11" s="342"/>
      <c r="B11" s="342"/>
      <c r="C11" s="34">
        <v>16</v>
      </c>
      <c r="D11" s="39" t="s">
        <v>33</v>
      </c>
      <c r="E11" s="175">
        <f>'WAIVER Allocation - Flat Comb'!M11</f>
        <v>20000</v>
      </c>
      <c r="F11" s="37">
        <f t="shared" si="0"/>
        <v>2.7000000000000001E-3</v>
      </c>
      <c r="G11" s="30"/>
      <c r="H11" s="167">
        <f>'FY18 Allocations'!E11</f>
        <v>18617.77</v>
      </c>
      <c r="I11" s="89">
        <f t="shared" si="2"/>
        <v>1382.2299999999996</v>
      </c>
      <c r="J11" s="37">
        <f t="shared" si="3"/>
        <v>7.4242511321173238E-2</v>
      </c>
      <c r="K11" s="2"/>
      <c r="L11" s="2"/>
      <c r="M11" s="2"/>
      <c r="N11" s="2"/>
      <c r="O11" s="2"/>
      <c r="P11" s="2"/>
      <c r="Q11" s="2"/>
      <c r="R11" s="2"/>
      <c r="S11" s="2"/>
      <c r="T11" s="2"/>
      <c r="U11" s="2"/>
      <c r="V11" s="2"/>
      <c r="W11" s="2"/>
      <c r="X11" s="2"/>
      <c r="Y11" s="2"/>
      <c r="Z11" s="2"/>
    </row>
    <row r="12" spans="1:26" ht="15.75" customHeight="1" x14ac:dyDescent="0.25">
      <c r="A12" s="342"/>
      <c r="B12" s="342"/>
      <c r="C12" s="34">
        <v>20</v>
      </c>
      <c r="D12" s="39" t="s">
        <v>106</v>
      </c>
      <c r="E12" s="175">
        <f>'WAIVER Allocation - Flat Comb'!M12</f>
        <v>0</v>
      </c>
      <c r="F12" s="37">
        <f t="shared" si="0"/>
        <v>0</v>
      </c>
      <c r="G12" s="30"/>
      <c r="H12" s="167">
        <f>'FY18 Allocations'!E12</f>
        <v>0</v>
      </c>
      <c r="I12" s="89">
        <f t="shared" si="2"/>
        <v>0</v>
      </c>
      <c r="J12" s="37" t="e">
        <f t="shared" si="3"/>
        <v>#DIV/0!</v>
      </c>
      <c r="K12" s="2"/>
      <c r="L12" s="2"/>
      <c r="M12" s="2"/>
      <c r="N12" s="2"/>
      <c r="O12" s="2"/>
      <c r="P12" s="2"/>
      <c r="Q12" s="2"/>
      <c r="R12" s="2"/>
      <c r="S12" s="2"/>
      <c r="T12" s="2"/>
      <c r="U12" s="2"/>
      <c r="V12" s="2"/>
      <c r="W12" s="2"/>
      <c r="X12" s="2"/>
      <c r="Y12" s="2"/>
      <c r="Z12" s="2"/>
    </row>
    <row r="13" spans="1:26" ht="15.75" customHeight="1" x14ac:dyDescent="0.25">
      <c r="A13" s="342"/>
      <c r="B13" s="342"/>
      <c r="C13" s="34">
        <v>8</v>
      </c>
      <c r="D13" s="39" t="s">
        <v>35</v>
      </c>
      <c r="E13" s="175">
        <f>'WAIVER Allocation - Flat Comb'!M13</f>
        <v>187500</v>
      </c>
      <c r="F13" s="37">
        <f t="shared" si="0"/>
        <v>2.52E-2</v>
      </c>
      <c r="G13" s="30"/>
      <c r="H13" s="167"/>
      <c r="I13" s="89"/>
      <c r="J13" s="37"/>
      <c r="K13" s="2"/>
      <c r="L13" s="2"/>
      <c r="M13" s="2"/>
      <c r="N13" s="2"/>
      <c r="O13" s="2"/>
      <c r="P13" s="2"/>
      <c r="Q13" s="2"/>
      <c r="R13" s="2"/>
      <c r="S13" s="2"/>
      <c r="T13" s="2"/>
      <c r="U13" s="2"/>
      <c r="V13" s="2"/>
      <c r="W13" s="2"/>
      <c r="X13" s="2"/>
      <c r="Y13" s="2"/>
      <c r="Z13" s="2"/>
    </row>
    <row r="14" spans="1:26" ht="15.75" customHeight="1" x14ac:dyDescent="0.25">
      <c r="A14" s="342"/>
      <c r="B14" s="342"/>
      <c r="C14" s="198">
        <v>12</v>
      </c>
      <c r="D14" s="39" t="s">
        <v>36</v>
      </c>
      <c r="E14" s="175">
        <f>'WAIVER Allocation - Flat Comb'!M14</f>
        <v>250000</v>
      </c>
      <c r="F14" s="37">
        <f t="shared" si="0"/>
        <v>3.3599999999999998E-2</v>
      </c>
      <c r="G14" s="30"/>
      <c r="H14" s="167">
        <f>'FY18 Allocations'!E13</f>
        <v>190645.93</v>
      </c>
      <c r="I14" s="89">
        <f>E13-H14</f>
        <v>-3145.929999999993</v>
      </c>
      <c r="J14" s="37">
        <f>I14/H14</f>
        <v>-1.650142754162123E-2</v>
      </c>
      <c r="K14" s="2"/>
      <c r="L14" s="2"/>
      <c r="M14" s="2"/>
      <c r="N14" s="239"/>
      <c r="O14" s="2"/>
      <c r="P14" s="2"/>
      <c r="Q14" s="2"/>
      <c r="R14" s="2"/>
      <c r="S14" s="2"/>
      <c r="T14" s="2"/>
      <c r="U14" s="2"/>
      <c r="V14" s="2"/>
      <c r="W14" s="2"/>
      <c r="X14" s="2"/>
      <c r="Y14" s="2"/>
      <c r="Z14" s="2"/>
    </row>
    <row r="15" spans="1:26" ht="16.5" customHeight="1" x14ac:dyDescent="0.25">
      <c r="A15" s="343"/>
      <c r="B15" s="343"/>
      <c r="C15" s="137">
        <v>4</v>
      </c>
      <c r="D15" s="7" t="s">
        <v>37</v>
      </c>
      <c r="E15" s="178">
        <f>'WAIVER Allocation - Flat Comb'!M15</f>
        <v>1900000</v>
      </c>
      <c r="F15" s="141">
        <f t="shared" si="0"/>
        <v>0.255</v>
      </c>
      <c r="G15" s="138"/>
      <c r="H15" s="155">
        <v>0</v>
      </c>
      <c r="I15" s="155" t="e">
        <f>#REF!-H15</f>
        <v>#REF!</v>
      </c>
      <c r="J15" s="240" t="s">
        <v>128</v>
      </c>
      <c r="K15" s="2"/>
      <c r="L15" s="2"/>
      <c r="M15" s="2"/>
      <c r="N15" s="2"/>
      <c r="O15" s="2"/>
      <c r="P15" s="2"/>
      <c r="Q15" s="2"/>
      <c r="R15" s="2"/>
      <c r="S15" s="2"/>
      <c r="T15" s="2"/>
      <c r="U15" s="2"/>
      <c r="V15" s="2"/>
      <c r="W15" s="2"/>
      <c r="X15" s="2"/>
      <c r="Y15" s="2"/>
      <c r="Z15" s="2"/>
    </row>
    <row r="16" spans="1:26" ht="15.75" customHeight="1" x14ac:dyDescent="0.25">
      <c r="A16" s="350">
        <f>SUM(E16:E25)/E26</f>
        <v>0.24194630872483222</v>
      </c>
      <c r="B16" s="362" t="s">
        <v>39</v>
      </c>
      <c r="C16" s="24">
        <v>11</v>
      </c>
      <c r="D16" s="131" t="s">
        <v>40</v>
      </c>
      <c r="E16" s="200">
        <f>'WAIVER Allocation - Flat Comb'!M16</f>
        <v>117500</v>
      </c>
      <c r="F16" s="27">
        <f t="shared" si="0"/>
        <v>1.5800000000000002E-2</v>
      </c>
      <c r="G16" s="30"/>
      <c r="H16" s="89">
        <f>'FY18 Allocations'!E16</f>
        <v>116174.86</v>
      </c>
      <c r="I16" s="89">
        <f t="shared" ref="I16:I24" si="4">E16-H16</f>
        <v>1325.1399999999994</v>
      </c>
      <c r="J16" s="27">
        <f t="shared" ref="J16:J22" si="5">I16/H16</f>
        <v>1.1406426485041594E-2</v>
      </c>
      <c r="K16" s="2"/>
      <c r="L16" s="2"/>
      <c r="M16" s="2"/>
      <c r="N16" s="2"/>
      <c r="O16" s="2"/>
      <c r="P16" s="2"/>
      <c r="Q16" s="2"/>
      <c r="R16" s="2"/>
      <c r="S16" s="2"/>
      <c r="T16" s="2"/>
      <c r="U16" s="2"/>
      <c r="V16" s="2"/>
      <c r="W16" s="2"/>
      <c r="X16" s="2"/>
      <c r="Y16" s="2"/>
      <c r="Z16" s="2"/>
    </row>
    <row r="17" spans="1:26" ht="15.75" customHeight="1" x14ac:dyDescent="0.25">
      <c r="A17" s="342"/>
      <c r="B17" s="342"/>
      <c r="C17" s="24">
        <v>15</v>
      </c>
      <c r="D17" s="39" t="s">
        <v>41</v>
      </c>
      <c r="E17" s="175">
        <f>'WAIVER Allocation - Flat Comb'!M17</f>
        <v>0</v>
      </c>
      <c r="F17" s="37">
        <f t="shared" si="0"/>
        <v>0</v>
      </c>
      <c r="G17" s="30"/>
      <c r="H17" s="167">
        <f>'FY18 Allocations'!E17</f>
        <v>0</v>
      </c>
      <c r="I17" s="89">
        <f t="shared" si="4"/>
        <v>0</v>
      </c>
      <c r="J17" s="37" t="e">
        <f t="shared" si="5"/>
        <v>#DIV/0!</v>
      </c>
      <c r="K17" s="2"/>
      <c r="L17" s="2"/>
      <c r="M17" s="2"/>
      <c r="N17" s="2"/>
      <c r="O17" s="2"/>
      <c r="P17" s="2"/>
      <c r="Q17" s="2"/>
      <c r="R17" s="2"/>
      <c r="S17" s="2"/>
      <c r="T17" s="2"/>
      <c r="U17" s="2"/>
      <c r="V17" s="2"/>
      <c r="W17" s="2"/>
      <c r="X17" s="2"/>
      <c r="Y17" s="2"/>
      <c r="Z17" s="2"/>
    </row>
    <row r="18" spans="1:26" ht="15.75" customHeight="1" x14ac:dyDescent="0.25">
      <c r="A18" s="342"/>
      <c r="B18" s="342"/>
      <c r="C18" s="24">
        <v>5</v>
      </c>
      <c r="D18" s="39" t="s">
        <v>42</v>
      </c>
      <c r="E18" s="175">
        <f>'WAIVER Allocation - Flat Comb'!M18</f>
        <v>465000</v>
      </c>
      <c r="F18" s="37">
        <f t="shared" si="0"/>
        <v>6.2399999999999997E-2</v>
      </c>
      <c r="G18" s="30"/>
      <c r="H18" s="167">
        <f>'FY18 Allocations'!E18</f>
        <v>460975.9</v>
      </c>
      <c r="I18" s="89">
        <f t="shared" si="4"/>
        <v>4024.0999999999767</v>
      </c>
      <c r="J18" s="37">
        <f t="shared" si="5"/>
        <v>8.7295236041623359E-3</v>
      </c>
      <c r="K18" s="2"/>
      <c r="L18" s="2"/>
      <c r="M18" s="2"/>
      <c r="N18" s="2"/>
      <c r="O18" s="2"/>
      <c r="P18" s="2"/>
      <c r="Q18" s="2"/>
      <c r="R18" s="2"/>
      <c r="S18" s="2"/>
      <c r="T18" s="2"/>
      <c r="U18" s="2"/>
      <c r="V18" s="2"/>
      <c r="W18" s="2"/>
      <c r="X18" s="2"/>
      <c r="Y18" s="2"/>
      <c r="Z18" s="2"/>
    </row>
    <row r="19" spans="1:26" ht="15.75" customHeight="1" x14ac:dyDescent="0.25">
      <c r="A19" s="342"/>
      <c r="B19" s="342"/>
      <c r="C19" s="24">
        <v>6</v>
      </c>
      <c r="D19" s="39" t="s">
        <v>43</v>
      </c>
      <c r="E19" s="175">
        <f>'WAIVER Allocation - Flat Comb'!M19</f>
        <v>335000</v>
      </c>
      <c r="F19" s="37">
        <f t="shared" si="0"/>
        <v>4.4999999999999998E-2</v>
      </c>
      <c r="G19" s="30"/>
      <c r="H19" s="167">
        <f>'FY18 Allocations'!E19</f>
        <v>330651.53999999998</v>
      </c>
      <c r="I19" s="89">
        <f t="shared" si="4"/>
        <v>4348.460000000021</v>
      </c>
      <c r="J19" s="37">
        <f t="shared" si="5"/>
        <v>1.3151186291163262E-2</v>
      </c>
      <c r="K19" s="2"/>
      <c r="L19" s="2"/>
      <c r="M19" s="239"/>
      <c r="N19" s="2"/>
      <c r="O19" s="2"/>
      <c r="P19" s="2"/>
      <c r="Q19" s="2"/>
      <c r="R19" s="2"/>
      <c r="S19" s="2"/>
      <c r="T19" s="2"/>
      <c r="U19" s="2"/>
      <c r="V19" s="2"/>
      <c r="W19" s="2"/>
      <c r="X19" s="2"/>
      <c r="Y19" s="2"/>
      <c r="Z19" s="2"/>
    </row>
    <row r="20" spans="1:26" ht="15.75" customHeight="1" x14ac:dyDescent="0.25">
      <c r="A20" s="342"/>
      <c r="B20" s="342"/>
      <c r="C20" s="24">
        <v>9</v>
      </c>
      <c r="D20" s="39" t="s">
        <v>44</v>
      </c>
      <c r="E20" s="175">
        <f>'WAIVER Allocation - Flat Comb'!M20</f>
        <v>80000</v>
      </c>
      <c r="F20" s="37">
        <f t="shared" si="0"/>
        <v>1.0699999999999999E-2</v>
      </c>
      <c r="G20" s="30"/>
      <c r="H20" s="167">
        <f>'FY18 Allocations'!E20</f>
        <v>78939.33</v>
      </c>
      <c r="I20" s="89">
        <f t="shared" si="4"/>
        <v>1060.6699999999983</v>
      </c>
      <c r="J20" s="37">
        <f t="shared" si="5"/>
        <v>1.3436521439946326E-2</v>
      </c>
      <c r="K20" s="2"/>
      <c r="L20" s="2"/>
      <c r="M20" s="239"/>
      <c r="N20" s="2"/>
      <c r="O20" s="2"/>
      <c r="P20" s="2"/>
      <c r="Q20" s="2"/>
      <c r="R20" s="2"/>
      <c r="S20" s="2"/>
      <c r="T20" s="2"/>
      <c r="U20" s="2"/>
      <c r="V20" s="2"/>
      <c r="W20" s="2"/>
      <c r="X20" s="2"/>
      <c r="Y20" s="2"/>
      <c r="Z20" s="2"/>
    </row>
    <row r="21" spans="1:26" ht="15.75" customHeight="1" x14ac:dyDescent="0.25">
      <c r="A21" s="342"/>
      <c r="B21" s="342"/>
      <c r="C21" s="24">
        <v>18</v>
      </c>
      <c r="D21" s="39" t="s">
        <v>45</v>
      </c>
      <c r="E21" s="175">
        <f>'WAIVER Allocation - Flat Comb'!M21</f>
        <v>0</v>
      </c>
      <c r="F21" s="37">
        <f t="shared" si="0"/>
        <v>0</v>
      </c>
      <c r="G21" s="30"/>
      <c r="H21" s="167">
        <f>'FY18 Allocations'!E21</f>
        <v>0</v>
      </c>
      <c r="I21" s="89">
        <f t="shared" si="4"/>
        <v>0</v>
      </c>
      <c r="J21" s="37" t="e">
        <f t="shared" si="5"/>
        <v>#DIV/0!</v>
      </c>
      <c r="K21" s="2"/>
      <c r="L21" s="2"/>
      <c r="M21" s="2"/>
      <c r="N21" s="2"/>
      <c r="O21" s="2"/>
      <c r="P21" s="2"/>
      <c r="Q21" s="2"/>
      <c r="R21" s="2"/>
      <c r="S21" s="2"/>
      <c r="T21" s="2"/>
      <c r="U21" s="2"/>
      <c r="V21" s="2"/>
      <c r="W21" s="2"/>
      <c r="X21" s="2"/>
      <c r="Y21" s="2"/>
      <c r="Z21" s="2"/>
    </row>
    <row r="22" spans="1:26" ht="15.75" customHeight="1" x14ac:dyDescent="0.25">
      <c r="A22" s="342"/>
      <c r="B22" s="342"/>
      <c r="C22" s="34">
        <v>3</v>
      </c>
      <c r="D22" s="39" t="s">
        <v>46</v>
      </c>
      <c r="E22" s="175">
        <f>'WAIVER Allocation - Flat Comb'!M22</f>
        <v>695000</v>
      </c>
      <c r="F22" s="37">
        <f t="shared" si="0"/>
        <v>9.3299999999999994E-2</v>
      </c>
      <c r="G22" s="30"/>
      <c r="H22" s="167">
        <f>'FY18 Allocations'!E22</f>
        <v>689602.08</v>
      </c>
      <c r="I22" s="89">
        <f t="shared" si="4"/>
        <v>5397.9200000000419</v>
      </c>
      <c r="J22" s="37">
        <f t="shared" si="5"/>
        <v>7.8275865989267928E-3</v>
      </c>
      <c r="K22" s="2"/>
      <c r="L22" s="2"/>
      <c r="M22" s="2"/>
      <c r="N22" s="2"/>
      <c r="O22" s="2"/>
      <c r="P22" s="2"/>
      <c r="Q22" s="2"/>
      <c r="R22" s="2"/>
      <c r="S22" s="2"/>
      <c r="T22" s="2"/>
      <c r="U22" s="2"/>
      <c r="V22" s="2"/>
      <c r="W22" s="2"/>
      <c r="X22" s="2"/>
      <c r="Y22" s="2"/>
      <c r="Z22" s="2"/>
    </row>
    <row r="23" spans="1:26" ht="15.75" customHeight="1" x14ac:dyDescent="0.25">
      <c r="A23" s="342"/>
      <c r="B23" s="342"/>
      <c r="C23" s="34">
        <v>13</v>
      </c>
      <c r="D23" s="39" t="s">
        <v>47</v>
      </c>
      <c r="E23" s="175">
        <f>'WAIVER Allocation - Flat Comb'!M23</f>
        <v>30000</v>
      </c>
      <c r="F23" s="37">
        <f t="shared" si="0"/>
        <v>4.0000000000000001E-3</v>
      </c>
      <c r="G23" s="138"/>
      <c r="H23" s="167">
        <v>0</v>
      </c>
      <c r="I23" s="89">
        <f t="shared" si="4"/>
        <v>30000</v>
      </c>
      <c r="J23" s="241" t="s">
        <v>128</v>
      </c>
      <c r="K23" s="2"/>
      <c r="L23" s="2"/>
      <c r="M23" s="2"/>
      <c r="N23" s="2"/>
      <c r="O23" s="2"/>
      <c r="P23" s="2"/>
      <c r="Q23" s="2"/>
      <c r="R23" s="2"/>
      <c r="S23" s="2"/>
      <c r="T23" s="2"/>
      <c r="U23" s="2"/>
      <c r="V23" s="2"/>
      <c r="W23" s="2"/>
      <c r="X23" s="2"/>
      <c r="Y23" s="2"/>
      <c r="Z23" s="2"/>
    </row>
    <row r="24" spans="1:26" ht="15.75" customHeight="1" x14ac:dyDescent="0.25">
      <c r="A24" s="342"/>
      <c r="B24" s="342"/>
      <c r="C24" s="206">
        <v>7</v>
      </c>
      <c r="D24" s="43" t="s">
        <v>48</v>
      </c>
      <c r="E24" s="196">
        <f>'WAIVER Allocation - Flat Comb'!M24</f>
        <v>80000</v>
      </c>
      <c r="F24" s="237">
        <f t="shared" si="0"/>
        <v>1.0699999999999999E-2</v>
      </c>
      <c r="G24" s="138"/>
      <c r="H24" s="167">
        <v>0</v>
      </c>
      <c r="I24" s="89">
        <f t="shared" si="4"/>
        <v>80000</v>
      </c>
      <c r="J24" s="241" t="s">
        <v>128</v>
      </c>
      <c r="K24" s="2"/>
      <c r="L24" s="2"/>
      <c r="M24" s="2"/>
      <c r="N24" s="2"/>
      <c r="O24" s="2"/>
      <c r="P24" s="2"/>
      <c r="Q24" s="2"/>
      <c r="R24" s="2"/>
      <c r="S24" s="2"/>
      <c r="T24" s="2"/>
      <c r="U24" s="2"/>
      <c r="V24" s="2"/>
      <c r="W24" s="2"/>
      <c r="X24" s="2"/>
      <c r="Y24" s="2"/>
      <c r="Z24" s="2"/>
    </row>
    <row r="25" spans="1:26" ht="15.75" customHeight="1" x14ac:dyDescent="0.25">
      <c r="A25" s="342"/>
      <c r="B25" s="342"/>
      <c r="C25" s="137">
        <v>19</v>
      </c>
      <c r="D25" s="139" t="s">
        <v>49</v>
      </c>
      <c r="E25" s="178">
        <f>'WAIVER Allocation - Flat Comb'!M25</f>
        <v>0</v>
      </c>
      <c r="F25" s="141">
        <f t="shared" si="0"/>
        <v>0</v>
      </c>
      <c r="G25" s="138"/>
      <c r="H25" s="108"/>
      <c r="I25" s="151"/>
      <c r="J25" s="242"/>
      <c r="K25" s="2"/>
      <c r="L25" s="2"/>
      <c r="M25" s="2"/>
      <c r="N25" s="2"/>
      <c r="O25" s="2"/>
      <c r="P25" s="2"/>
      <c r="Q25" s="2"/>
      <c r="R25" s="2"/>
      <c r="S25" s="2"/>
      <c r="T25" s="2"/>
      <c r="U25" s="2"/>
      <c r="V25" s="2"/>
      <c r="W25" s="2"/>
      <c r="X25" s="2"/>
      <c r="Y25" s="2"/>
      <c r="Z25" s="2"/>
    </row>
    <row r="26" spans="1:26" ht="15.75" customHeight="1" x14ac:dyDescent="0.25">
      <c r="A26" s="243"/>
      <c r="B26" s="244"/>
      <c r="C26" s="131"/>
      <c r="D26" s="245" t="s">
        <v>130</v>
      </c>
      <c r="E26" s="246">
        <f>SUM(E5:E25)</f>
        <v>7450000</v>
      </c>
      <c r="F26" s="134">
        <f>SUM(F5:F14)</f>
        <v>0.50309999999999999</v>
      </c>
      <c r="G26" s="2"/>
      <c r="H26" s="89">
        <f>SUM(H5:H25)</f>
        <v>3832281.11</v>
      </c>
      <c r="I26" s="89">
        <f>E26-H26</f>
        <v>3617718.89</v>
      </c>
      <c r="J26" s="27">
        <f>I26/H26</f>
        <v>0.9440118786066819</v>
      </c>
      <c r="K26" s="2"/>
      <c r="L26" s="2"/>
      <c r="M26" s="2"/>
      <c r="N26" s="239"/>
      <c r="O26" s="2"/>
      <c r="P26" s="2"/>
      <c r="Q26" s="2"/>
      <c r="R26" s="2"/>
      <c r="S26" s="2"/>
      <c r="T26" s="2"/>
      <c r="U26" s="2"/>
      <c r="V26" s="2"/>
      <c r="W26" s="2"/>
      <c r="X26" s="2"/>
      <c r="Y26" s="2"/>
      <c r="Z26" s="2"/>
    </row>
    <row r="27" spans="1:26" ht="15.75" customHeight="1" x14ac:dyDescent="0.25">
      <c r="A27" s="2"/>
      <c r="B27" s="2"/>
      <c r="C27" s="2"/>
      <c r="D27" s="2"/>
      <c r="E27" s="138"/>
      <c r="F27" s="138"/>
      <c r="G27" s="138"/>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138"/>
      <c r="H28" s="9"/>
      <c r="I28" s="166"/>
      <c r="J28" s="30"/>
      <c r="K28" s="2"/>
      <c r="L28" s="2"/>
      <c r="M28" s="2"/>
      <c r="N28" s="2"/>
      <c r="O28" s="2"/>
      <c r="P28" s="2"/>
      <c r="Q28" s="2"/>
      <c r="R28" s="2"/>
      <c r="S28" s="2"/>
      <c r="T28" s="2"/>
      <c r="U28" s="2"/>
      <c r="V28" s="2"/>
      <c r="W28" s="2"/>
      <c r="X28" s="2"/>
      <c r="Y28" s="2"/>
      <c r="Z28" s="2"/>
    </row>
    <row r="29" spans="1:26" ht="15.75" customHeight="1" x14ac:dyDescent="0.25">
      <c r="A29" s="2"/>
      <c r="B29" s="2"/>
      <c r="C29" s="2"/>
      <c r="D29" s="2" t="s">
        <v>70</v>
      </c>
      <c r="E29" s="2" t="str">
        <f t="shared" ref="E29:E30" si="6">E3</f>
        <v>FY19 SEMHAC Allocation</v>
      </c>
      <c r="F29" s="2"/>
      <c r="G29" s="2"/>
      <c r="H29" s="2" t="s">
        <v>131</v>
      </c>
      <c r="I29" s="2"/>
      <c r="J29" s="2"/>
      <c r="K29" s="2"/>
      <c r="L29" s="2"/>
      <c r="M29" s="2"/>
      <c r="N29" s="2"/>
      <c r="O29" s="2"/>
      <c r="P29" s="2"/>
      <c r="Q29" s="2"/>
      <c r="R29" s="2"/>
      <c r="S29" s="2"/>
      <c r="T29" s="2"/>
      <c r="U29" s="2"/>
      <c r="V29" s="2"/>
      <c r="W29" s="2"/>
      <c r="X29" s="2"/>
      <c r="Y29" s="2"/>
      <c r="Z29" s="2"/>
    </row>
    <row r="30" spans="1:26" ht="36.75" customHeight="1" x14ac:dyDescent="0.25">
      <c r="A30" s="5" t="str">
        <f>A4</f>
        <v>FY19               % by type</v>
      </c>
      <c r="B30" s="6" t="s">
        <v>6</v>
      </c>
      <c r="C30" s="5" t="str">
        <f>C4</f>
        <v>FY19 Priority</v>
      </c>
      <c r="D30" s="5" t="s">
        <v>8</v>
      </c>
      <c r="E30" s="14" t="str">
        <f t="shared" si="6"/>
        <v>FY19                          Projected Allocation</v>
      </c>
      <c r="F30" s="14" t="s">
        <v>121</v>
      </c>
      <c r="G30" s="2"/>
      <c r="H30" s="234" t="s">
        <v>65</v>
      </c>
      <c r="I30" s="14" t="s">
        <v>66</v>
      </c>
      <c r="J30" s="14" t="s">
        <v>67</v>
      </c>
      <c r="K30" s="2"/>
      <c r="L30" s="2"/>
      <c r="M30" s="2"/>
      <c r="N30" s="2"/>
      <c r="O30" s="2"/>
      <c r="P30" s="2"/>
      <c r="Q30" s="2"/>
      <c r="R30" s="2"/>
      <c r="S30" s="2"/>
      <c r="T30" s="2"/>
      <c r="U30" s="2"/>
      <c r="V30" s="2"/>
      <c r="W30" s="2"/>
      <c r="X30" s="2"/>
      <c r="Y30" s="2"/>
      <c r="Z30" s="2"/>
    </row>
    <row r="31" spans="1:26" ht="15.75" customHeight="1" x14ac:dyDescent="0.25">
      <c r="A31" s="341">
        <f>SUM(E31:E32)/E33</f>
        <v>1</v>
      </c>
      <c r="B31" s="344" t="s">
        <v>21</v>
      </c>
      <c r="C31" s="24"/>
      <c r="D31" s="131" t="s">
        <v>132</v>
      </c>
      <c r="E31" s="200">
        <f>MROUND('WAIVER Allocation - Flat Comb'!M5*'FY18 Allocations'!H31,5000)</f>
        <v>520000</v>
      </c>
      <c r="F31" s="27">
        <f>ROUND(E31/E33,4)</f>
        <v>0.7429</v>
      </c>
      <c r="G31" s="2"/>
      <c r="H31" s="167">
        <f>'FY18 Allocations'!E31</f>
        <v>519417.35</v>
      </c>
      <c r="I31" s="89">
        <f t="shared" ref="I31:I33" si="7">E31-H31</f>
        <v>582.65000000002328</v>
      </c>
      <c r="J31" s="208">
        <f t="shared" ref="J31:J33" si="8">I31/H31</f>
        <v>1.1217376547010287E-3</v>
      </c>
      <c r="K31" s="2"/>
      <c r="L31" s="2"/>
      <c r="M31" s="2"/>
      <c r="N31" s="2"/>
      <c r="O31" s="2"/>
      <c r="P31" s="2"/>
      <c r="Q31" s="2"/>
      <c r="R31" s="2"/>
      <c r="S31" s="2"/>
      <c r="T31" s="2"/>
      <c r="U31" s="2"/>
      <c r="V31" s="2"/>
      <c r="W31" s="2"/>
      <c r="X31" s="2"/>
      <c r="Y31" s="2"/>
      <c r="Z31" s="2"/>
    </row>
    <row r="32" spans="1:26" ht="16.5" customHeight="1" x14ac:dyDescent="0.25">
      <c r="A32" s="343"/>
      <c r="B32" s="343"/>
      <c r="C32" s="73"/>
      <c r="D32" s="139" t="s">
        <v>133</v>
      </c>
      <c r="E32" s="178">
        <f>MROUND('WAIVER Allocation - Flat Comb'!M9*'FY18 Allocations'!H32,5000)</f>
        <v>180000</v>
      </c>
      <c r="F32" s="141">
        <f>ROUND(E32/E33,4)</f>
        <v>0.2571</v>
      </c>
      <c r="G32" s="2"/>
      <c r="H32" s="247">
        <f>'FY18 Allocations'!E32</f>
        <v>183733.25</v>
      </c>
      <c r="I32" s="155">
        <f t="shared" si="7"/>
        <v>-3733.25</v>
      </c>
      <c r="J32" s="141">
        <f t="shared" si="8"/>
        <v>-2.0318858998031115E-2</v>
      </c>
      <c r="K32" s="2"/>
      <c r="L32" s="2"/>
      <c r="M32" s="2"/>
      <c r="N32" s="2"/>
      <c r="O32" s="2"/>
      <c r="P32" s="2"/>
      <c r="Q32" s="2"/>
      <c r="R32" s="2"/>
      <c r="S32" s="2"/>
      <c r="T32" s="2"/>
      <c r="U32" s="2"/>
      <c r="V32" s="2"/>
      <c r="W32" s="2"/>
      <c r="X32" s="2"/>
      <c r="Y32" s="2"/>
      <c r="Z32" s="2"/>
    </row>
    <row r="33" spans="1:26" ht="15.75" customHeight="1" x14ac:dyDescent="0.25">
      <c r="A33" s="129"/>
      <c r="B33" s="130"/>
      <c r="C33" s="131"/>
      <c r="D33" s="245" t="s">
        <v>134</v>
      </c>
      <c r="E33" s="246">
        <f t="shared" ref="E33:F33" si="9">SUM(E31:E32)</f>
        <v>700000</v>
      </c>
      <c r="F33" s="134">
        <f t="shared" si="9"/>
        <v>1</v>
      </c>
      <c r="G33" s="2"/>
      <c r="H33" s="89">
        <f>SUM(H31:H32)</f>
        <v>703150.6</v>
      </c>
      <c r="I33" s="89">
        <f t="shared" si="7"/>
        <v>-3150.5999999999767</v>
      </c>
      <c r="J33" s="248">
        <f t="shared" si="8"/>
        <v>-4.4806901963817944E-3</v>
      </c>
      <c r="K33" s="2"/>
      <c r="L33" s="2"/>
      <c r="M33" s="2"/>
      <c r="N33" s="2"/>
      <c r="O33" s="2"/>
      <c r="P33" s="2"/>
      <c r="Q33" s="2"/>
      <c r="R33" s="2"/>
      <c r="S33" s="2"/>
      <c r="T33" s="2"/>
      <c r="U33" s="2"/>
      <c r="V33" s="2"/>
      <c r="W33" s="2"/>
      <c r="X33" s="2"/>
      <c r="Y33" s="2"/>
      <c r="Z33" s="2"/>
    </row>
    <row r="34" spans="1:26" ht="15.75" customHeight="1" x14ac:dyDescent="0.25">
      <c r="A34" s="2"/>
      <c r="B34" s="2"/>
      <c r="C34" s="2"/>
      <c r="D34" s="2"/>
      <c r="E34" s="138"/>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138"/>
      <c r="F35" s="2"/>
      <c r="G35" s="2"/>
      <c r="H35" s="2"/>
      <c r="I35" s="2"/>
      <c r="J35" s="2"/>
      <c r="K35" s="2"/>
      <c r="L35" s="2"/>
      <c r="M35" s="2"/>
      <c r="N35" s="2"/>
      <c r="O35" s="2"/>
      <c r="P35" s="2"/>
      <c r="Q35" s="2"/>
      <c r="R35" s="2"/>
      <c r="S35" s="2"/>
      <c r="T35" s="2"/>
      <c r="U35" s="2"/>
      <c r="V35" s="2"/>
      <c r="W35" s="2"/>
      <c r="X35" s="2"/>
      <c r="Y35" s="2"/>
      <c r="Z35" s="2"/>
    </row>
    <row r="36" spans="1:26" ht="39" customHeight="1" x14ac:dyDescent="0.25">
      <c r="A36" s="2"/>
      <c r="B36" s="2"/>
      <c r="C36" s="2"/>
      <c r="D36" s="7" t="s">
        <v>74</v>
      </c>
      <c r="E36" s="14" t="str">
        <f>E4</f>
        <v>FY19                          Projected Allocation</v>
      </c>
      <c r="F36" s="14" t="s">
        <v>121</v>
      </c>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69" t="s">
        <v>76</v>
      </c>
      <c r="E37" s="203">
        <f>SUM(E5:E15)+E33</f>
        <v>6347500</v>
      </c>
      <c r="F37" s="27">
        <f>E37/E39</f>
        <v>0.7788343558282208</v>
      </c>
      <c r="G37" s="2"/>
      <c r="H37" s="2"/>
      <c r="I37" s="2"/>
      <c r="J37" s="2"/>
      <c r="K37" s="2"/>
      <c r="L37" s="2"/>
      <c r="M37" s="2"/>
      <c r="N37" s="2"/>
      <c r="O37" s="2"/>
      <c r="P37" s="2"/>
      <c r="Q37" s="2"/>
      <c r="R37" s="2"/>
      <c r="S37" s="2"/>
      <c r="T37" s="2"/>
      <c r="U37" s="2"/>
      <c r="V37" s="2"/>
      <c r="W37" s="2"/>
      <c r="X37" s="2"/>
      <c r="Y37" s="2"/>
      <c r="Z37" s="2"/>
    </row>
    <row r="38" spans="1:26" ht="16.5" customHeight="1" x14ac:dyDescent="0.25">
      <c r="A38" s="2"/>
      <c r="B38" s="2"/>
      <c r="C38" s="2"/>
      <c r="D38" s="249" t="s">
        <v>79</v>
      </c>
      <c r="E38" s="199">
        <f>SUM(E16:E25)</f>
        <v>1802500</v>
      </c>
      <c r="F38" s="141">
        <f>E38/E39</f>
        <v>0.22116564417177914</v>
      </c>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50" t="s">
        <v>80</v>
      </c>
      <c r="E39" s="133">
        <f t="shared" ref="E39:F39" si="10">SUM(E37:E38)</f>
        <v>8150000</v>
      </c>
      <c r="F39" s="134">
        <f t="shared" si="10"/>
        <v>1</v>
      </c>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t="s">
        <v>50</v>
      </c>
      <c r="B41" s="2"/>
      <c r="C41" s="2"/>
      <c r="D41" s="2"/>
      <c r="E41" s="2"/>
      <c r="F41" s="2"/>
      <c r="G41" s="2"/>
      <c r="H41" s="2"/>
      <c r="I41" s="2"/>
      <c r="J41" s="2"/>
      <c r="K41" s="2"/>
      <c r="L41" s="2"/>
      <c r="M41" s="2"/>
      <c r="N41" s="2"/>
      <c r="O41" s="2"/>
      <c r="P41" s="2"/>
      <c r="Q41" s="2"/>
      <c r="R41" s="2"/>
      <c r="S41" s="2"/>
      <c r="T41" s="2"/>
      <c r="U41" s="2"/>
      <c r="V41" s="2"/>
      <c r="W41" s="2"/>
      <c r="X41" s="2"/>
      <c r="Y41" s="2"/>
      <c r="Z41" s="2"/>
    </row>
    <row r="42" spans="1:26" ht="30.75" customHeight="1" x14ac:dyDescent="0.25">
      <c r="A42" s="23"/>
      <c r="B42" s="301"/>
      <c r="C42" s="301"/>
      <c r="D42" s="301"/>
      <c r="E42" s="301"/>
      <c r="F42" s="301"/>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x14ac:dyDescent="0.25">
      <c r="A45" s="2"/>
      <c r="B45" s="2"/>
      <c r="C45" s="2"/>
      <c r="D45" s="160"/>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351" t="s">
        <v>135</v>
      </c>
      <c r="B46" s="352"/>
      <c r="C46" s="2"/>
      <c r="D46" s="253" t="s">
        <v>136</v>
      </c>
      <c r="E46" s="254"/>
      <c r="F46" s="2"/>
      <c r="G46" s="2"/>
      <c r="H46" s="2"/>
      <c r="I46" s="2"/>
      <c r="J46" s="2"/>
      <c r="K46" s="2"/>
      <c r="L46" s="2"/>
      <c r="M46" s="2"/>
      <c r="N46" s="2"/>
      <c r="O46" s="2"/>
      <c r="P46" s="2"/>
      <c r="Q46" s="2"/>
      <c r="R46" s="2"/>
      <c r="S46" s="2"/>
      <c r="T46" s="2"/>
      <c r="U46" s="2"/>
      <c r="V46" s="2"/>
      <c r="W46" s="2"/>
      <c r="X46" s="2"/>
      <c r="Y46" s="2"/>
      <c r="Z46" s="2"/>
    </row>
    <row r="47" spans="1:26" ht="15.75" customHeight="1" x14ac:dyDescent="0.25">
      <c r="A47" s="353"/>
      <c r="B47" s="354"/>
      <c r="C47" s="2"/>
      <c r="D47" s="255" t="s">
        <v>137</v>
      </c>
      <c r="E47" s="256">
        <f>E26</f>
        <v>7450000</v>
      </c>
      <c r="F47" s="2"/>
      <c r="G47" s="2"/>
      <c r="H47" s="2"/>
      <c r="I47" s="2"/>
      <c r="J47" s="2"/>
      <c r="K47" s="2"/>
      <c r="L47" s="2"/>
      <c r="M47" s="2"/>
      <c r="N47" s="2"/>
      <c r="O47" s="2"/>
      <c r="P47" s="2"/>
      <c r="Q47" s="2"/>
      <c r="R47" s="2"/>
      <c r="S47" s="2"/>
      <c r="T47" s="2"/>
      <c r="U47" s="2"/>
      <c r="V47" s="2"/>
      <c r="W47" s="2"/>
      <c r="X47" s="2"/>
      <c r="Y47" s="2"/>
      <c r="Z47" s="2"/>
    </row>
    <row r="48" spans="1:26" ht="15.75" customHeight="1" x14ac:dyDescent="0.25">
      <c r="A48" s="353"/>
      <c r="B48" s="354"/>
      <c r="C48" s="2"/>
      <c r="D48" s="260" t="s">
        <v>138</v>
      </c>
      <c r="E48" s="261">
        <f>'FY18 Allocations'!E26</f>
        <v>7447106.7000000011</v>
      </c>
      <c r="F48" s="138"/>
      <c r="G48" s="138"/>
      <c r="H48" s="2"/>
      <c r="I48" s="2"/>
      <c r="J48" s="2"/>
      <c r="K48" s="2"/>
      <c r="L48" s="2"/>
      <c r="M48" s="2"/>
      <c r="N48" s="2"/>
      <c r="O48" s="2"/>
      <c r="P48" s="2"/>
      <c r="Q48" s="2"/>
      <c r="R48" s="2"/>
      <c r="S48" s="2"/>
      <c r="T48" s="2"/>
      <c r="U48" s="2"/>
      <c r="V48" s="2"/>
      <c r="W48" s="2"/>
      <c r="X48" s="2"/>
      <c r="Y48" s="2"/>
      <c r="Z48" s="2"/>
    </row>
    <row r="49" spans="1:26" ht="15.75" customHeight="1" x14ac:dyDescent="0.25">
      <c r="A49" s="353"/>
      <c r="B49" s="354"/>
      <c r="C49" s="2"/>
      <c r="D49" s="255" t="s">
        <v>139</v>
      </c>
      <c r="E49" s="263">
        <f>E47-E48</f>
        <v>2893.2999999988824</v>
      </c>
      <c r="F49" s="165"/>
      <c r="G49" s="138"/>
      <c r="H49" s="9"/>
      <c r="I49" s="166"/>
      <c r="J49" s="30"/>
      <c r="K49" s="2"/>
      <c r="L49" s="2"/>
      <c r="M49" s="2"/>
      <c r="N49" s="2"/>
      <c r="O49" s="2"/>
      <c r="P49" s="2"/>
      <c r="Q49" s="2"/>
      <c r="R49" s="2"/>
      <c r="S49" s="2"/>
      <c r="T49" s="2"/>
      <c r="U49" s="2"/>
      <c r="V49" s="2"/>
      <c r="W49" s="2"/>
      <c r="X49" s="2"/>
      <c r="Y49" s="2"/>
      <c r="Z49" s="2"/>
    </row>
    <row r="50" spans="1:26" ht="15.75" customHeight="1" x14ac:dyDescent="0.25">
      <c r="A50" s="353"/>
      <c r="B50" s="354"/>
      <c r="C50" s="2"/>
      <c r="D50" s="264"/>
      <c r="E50" s="265"/>
      <c r="F50" s="2"/>
      <c r="G50" s="2"/>
      <c r="H50" s="2"/>
      <c r="I50" s="2"/>
      <c r="J50" s="2"/>
      <c r="K50" s="2"/>
      <c r="L50" s="2"/>
      <c r="M50" s="2"/>
      <c r="N50" s="2"/>
      <c r="O50" s="2"/>
      <c r="P50" s="2"/>
      <c r="Q50" s="2"/>
      <c r="R50" s="2"/>
      <c r="S50" s="2"/>
      <c r="T50" s="2"/>
      <c r="U50" s="2"/>
      <c r="V50" s="2"/>
      <c r="W50" s="2"/>
      <c r="X50" s="2"/>
      <c r="Y50" s="2"/>
      <c r="Z50" s="2"/>
    </row>
    <row r="51" spans="1:26" ht="15.75" customHeight="1" x14ac:dyDescent="0.25">
      <c r="A51" s="353"/>
      <c r="B51" s="354"/>
      <c r="C51" s="2"/>
      <c r="D51" s="255" t="s">
        <v>140</v>
      </c>
      <c r="E51" s="256">
        <f>E33</f>
        <v>700000</v>
      </c>
      <c r="F51" s="2"/>
      <c r="G51" s="2"/>
      <c r="H51" s="2"/>
      <c r="I51" s="2"/>
      <c r="J51" s="2"/>
      <c r="K51" s="2"/>
      <c r="L51" s="2"/>
      <c r="M51" s="2"/>
      <c r="N51" s="2"/>
      <c r="O51" s="2"/>
      <c r="P51" s="2"/>
      <c r="Q51" s="2"/>
      <c r="R51" s="2"/>
      <c r="S51" s="2"/>
      <c r="T51" s="2"/>
      <c r="U51" s="2"/>
      <c r="V51" s="2"/>
      <c r="W51" s="2"/>
      <c r="X51" s="2"/>
      <c r="Y51" s="2"/>
      <c r="Z51" s="2"/>
    </row>
    <row r="52" spans="1:26" ht="15.75" customHeight="1" x14ac:dyDescent="0.25">
      <c r="A52" s="353"/>
      <c r="B52" s="354"/>
      <c r="C52" s="2"/>
      <c r="D52" s="260" t="s">
        <v>141</v>
      </c>
      <c r="E52" s="261">
        <f>'FY18 Allocations'!E33</f>
        <v>703150.6</v>
      </c>
      <c r="F52" s="2"/>
      <c r="G52" s="2"/>
      <c r="H52" s="2"/>
      <c r="I52" s="2"/>
      <c r="J52" s="2"/>
      <c r="K52" s="2"/>
      <c r="L52" s="2"/>
      <c r="M52" s="2"/>
      <c r="N52" s="2"/>
      <c r="O52" s="2"/>
      <c r="P52" s="2"/>
      <c r="Q52" s="2"/>
      <c r="R52" s="2"/>
      <c r="S52" s="2"/>
      <c r="T52" s="2"/>
      <c r="U52" s="2"/>
      <c r="V52" s="2"/>
      <c r="W52" s="2"/>
      <c r="X52" s="2"/>
      <c r="Y52" s="2"/>
      <c r="Z52" s="2"/>
    </row>
    <row r="53" spans="1:26" ht="15.75" customHeight="1" x14ac:dyDescent="0.25">
      <c r="A53" s="353"/>
      <c r="B53" s="354"/>
      <c r="C53" s="2"/>
      <c r="D53" s="255" t="s">
        <v>142</v>
      </c>
      <c r="E53" s="263">
        <f>E51-E52</f>
        <v>-3150.5999999999767</v>
      </c>
      <c r="F53" s="2"/>
      <c r="G53" s="2"/>
      <c r="H53" s="2"/>
      <c r="I53" s="2"/>
      <c r="J53" s="2"/>
      <c r="K53" s="2"/>
      <c r="L53" s="2"/>
      <c r="M53" s="2"/>
      <c r="N53" s="2"/>
      <c r="O53" s="2"/>
      <c r="P53" s="2"/>
      <c r="Q53" s="2"/>
      <c r="R53" s="2"/>
      <c r="S53" s="2"/>
      <c r="T53" s="2"/>
      <c r="U53" s="2"/>
      <c r="V53" s="2"/>
      <c r="W53" s="2"/>
      <c r="X53" s="2"/>
      <c r="Y53" s="2"/>
      <c r="Z53" s="2"/>
    </row>
    <row r="54" spans="1:26" ht="15.75" customHeight="1" x14ac:dyDescent="0.25">
      <c r="A54" s="353"/>
      <c r="B54" s="354"/>
      <c r="C54" s="2"/>
      <c r="D54" s="255"/>
      <c r="E54" s="263"/>
      <c r="F54" s="2"/>
      <c r="G54" s="2"/>
      <c r="H54" s="2"/>
      <c r="I54" s="2"/>
      <c r="J54" s="2"/>
      <c r="K54" s="2"/>
      <c r="L54" s="2"/>
      <c r="M54" s="2"/>
      <c r="N54" s="2"/>
      <c r="O54" s="2"/>
      <c r="P54" s="2"/>
      <c r="Q54" s="2"/>
      <c r="R54" s="2"/>
      <c r="S54" s="2"/>
      <c r="T54" s="2"/>
      <c r="U54" s="2"/>
      <c r="V54" s="2"/>
      <c r="W54" s="2"/>
      <c r="X54" s="2"/>
      <c r="Y54" s="2"/>
      <c r="Z54" s="2"/>
    </row>
    <row r="55" spans="1:26" ht="15.75" customHeight="1" x14ac:dyDescent="0.25">
      <c r="A55" s="355"/>
      <c r="B55" s="356"/>
      <c r="C55" s="2"/>
      <c r="D55" s="266" t="s">
        <v>143</v>
      </c>
      <c r="E55" s="267">
        <f>E49+E53</f>
        <v>-257.3000000010943</v>
      </c>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55"/>
      <c r="E56" s="265"/>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55" t="s">
        <v>144</v>
      </c>
      <c r="E57" s="256">
        <f>E26+E33</f>
        <v>8150000</v>
      </c>
      <c r="F57" s="2"/>
      <c r="G57" s="2"/>
      <c r="H57" s="268"/>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74" t="s">
        <v>145</v>
      </c>
      <c r="E58" s="261">
        <f>ROUND('FY18 Allocations'!E40,0)</f>
        <v>8150257</v>
      </c>
      <c r="F58" s="2"/>
      <c r="G58" s="2"/>
      <c r="H58" s="138"/>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66" t="s">
        <v>147</v>
      </c>
      <c r="E59" s="267">
        <f>E57-E58</f>
        <v>-257</v>
      </c>
      <c r="F59" s="2"/>
      <c r="G59" s="2"/>
      <c r="H59" s="9"/>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64"/>
      <c r="E60" s="265"/>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361" t="s">
        <v>148</v>
      </c>
      <c r="E61" s="358"/>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359"/>
      <c r="E62" s="360"/>
      <c r="F62" s="2"/>
      <c r="G62" s="2"/>
      <c r="H62" s="2"/>
      <c r="I62" s="2"/>
      <c r="J62" s="2"/>
      <c r="K62" s="2"/>
      <c r="L62" s="2"/>
      <c r="M62" s="2"/>
      <c r="N62" s="2"/>
      <c r="O62" s="2"/>
      <c r="P62" s="2"/>
      <c r="Q62" s="2"/>
      <c r="R62" s="2"/>
      <c r="S62" s="2"/>
      <c r="T62" s="2"/>
      <c r="U62" s="2"/>
      <c r="V62" s="2"/>
      <c r="W62" s="2"/>
      <c r="X62" s="2"/>
      <c r="Y62" s="2"/>
      <c r="Z62" s="2"/>
    </row>
    <row r="63" spans="1:26" ht="16.5" customHeight="1" x14ac:dyDescent="0.25">
      <c r="A63" s="2"/>
      <c r="B63" s="2"/>
      <c r="C63" s="2"/>
      <c r="D63" s="282"/>
      <c r="E63" s="284"/>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86"/>
      <c r="E64" s="254"/>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87" t="s">
        <v>150</v>
      </c>
      <c r="E65" s="265"/>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64" t="s">
        <v>151</v>
      </c>
      <c r="E66" s="256">
        <f>E5+E31</f>
        <v>2460000</v>
      </c>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64" t="s">
        <v>152</v>
      </c>
      <c r="E67" s="261">
        <f>'WAIVER Allocation - Flat Comb'!M5</f>
        <v>2460000</v>
      </c>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64" t="s">
        <v>153</v>
      </c>
      <c r="E68" s="256">
        <f>E66-E67</f>
        <v>0</v>
      </c>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64"/>
      <c r="E69" s="256"/>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64" t="s">
        <v>154</v>
      </c>
      <c r="E70" s="256">
        <f>E8+E32</f>
        <v>180000</v>
      </c>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64" t="s">
        <v>155</v>
      </c>
      <c r="E71" s="261">
        <f>'WAIVER Allocation - Flat Comb'!M8</f>
        <v>0</v>
      </c>
      <c r="F71" s="2"/>
      <c r="G71" s="2"/>
      <c r="H71" s="2"/>
      <c r="I71" s="2"/>
      <c r="J71" s="2"/>
      <c r="K71" s="2"/>
      <c r="L71" s="2"/>
      <c r="M71" s="2"/>
      <c r="N71" s="2"/>
      <c r="O71" s="2"/>
      <c r="P71" s="2"/>
      <c r="Q71" s="2"/>
      <c r="R71" s="2"/>
      <c r="S71" s="2"/>
      <c r="T71" s="2"/>
      <c r="U71" s="2"/>
      <c r="V71" s="2"/>
      <c r="W71" s="2"/>
      <c r="X71" s="2"/>
      <c r="Y71" s="2"/>
      <c r="Z71" s="2"/>
    </row>
    <row r="72" spans="1:26" ht="16.5" customHeight="1" x14ac:dyDescent="0.25">
      <c r="A72" s="2"/>
      <c r="B72" s="2"/>
      <c r="C72" s="2"/>
      <c r="D72" s="289" t="s">
        <v>153</v>
      </c>
      <c r="E72" s="291">
        <f>E70-E71</f>
        <v>180000</v>
      </c>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B16" sqref="B16:B25"/>
    </sheetView>
  </sheetViews>
  <sheetFormatPr defaultColWidth="11.25" defaultRowHeight="15" customHeight="1" x14ac:dyDescent="0.25"/>
  <cols>
    <col min="1" max="1" width="11.125" customWidth="1"/>
    <col min="2" max="2" width="9.625" customWidth="1"/>
    <col min="3" max="3" width="12.75" customWidth="1"/>
    <col min="4" max="4" width="45.625" customWidth="1"/>
    <col min="5" max="5" width="15" customWidth="1"/>
    <col min="6" max="6" width="10.875" hidden="1" customWidth="1"/>
    <col min="7" max="7" width="3.5" hidden="1" customWidth="1"/>
    <col min="8" max="8" width="14" customWidth="1"/>
    <col min="9" max="9" width="16.625" hidden="1" customWidth="1"/>
    <col min="10" max="11" width="10.875" hidden="1" customWidth="1"/>
    <col min="12" max="13" width="15.5" customWidth="1"/>
    <col min="14" max="15" width="11.125" customWidth="1"/>
    <col min="16" max="16" width="14.875" customWidth="1"/>
    <col min="17" max="17" width="14.5" customWidth="1"/>
    <col min="18" max="26" width="15.125" customWidth="1"/>
  </cols>
  <sheetData>
    <row r="1" spans="1:26" ht="15.75" customHeight="1" x14ac:dyDescent="0.25">
      <c r="A1" s="1" t="s">
        <v>122</v>
      </c>
      <c r="B1" s="2"/>
      <c r="C1" s="2"/>
      <c r="D1" s="2"/>
      <c r="E1" s="2"/>
      <c r="F1" s="2"/>
      <c r="G1" s="2"/>
      <c r="H1" s="2"/>
      <c r="I1" s="2"/>
      <c r="J1" s="2"/>
      <c r="K1" s="2"/>
      <c r="L1" s="2"/>
      <c r="M1" s="2"/>
      <c r="N1" s="2"/>
      <c r="O1" s="2"/>
      <c r="P1" s="2"/>
      <c r="Q1" s="2"/>
      <c r="R1" s="2"/>
      <c r="S1" s="2"/>
      <c r="T1" s="2"/>
      <c r="U1" s="2"/>
      <c r="V1" s="2"/>
      <c r="W1" s="2"/>
      <c r="X1" s="2"/>
      <c r="Y1" s="2"/>
      <c r="Z1" s="2"/>
    </row>
    <row r="2" spans="1:26" ht="18.75" customHeight="1" x14ac:dyDescent="0.3">
      <c r="A2" s="235"/>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c r="E3" s="2"/>
      <c r="F3" s="2"/>
      <c r="G3" s="2"/>
      <c r="H3" s="2"/>
      <c r="I3" s="2" t="s">
        <v>89</v>
      </c>
      <c r="J3" s="2"/>
      <c r="K3" s="2"/>
      <c r="L3" s="2"/>
      <c r="M3" s="2"/>
      <c r="N3" s="2"/>
      <c r="O3" s="2"/>
      <c r="P3" s="2"/>
      <c r="Q3" s="2"/>
      <c r="R3" s="2"/>
      <c r="S3" s="2"/>
      <c r="T3" s="2"/>
      <c r="U3" s="2"/>
      <c r="V3" s="2"/>
      <c r="W3" s="2"/>
      <c r="X3" s="2"/>
      <c r="Y3" s="2"/>
      <c r="Z3" s="2"/>
    </row>
    <row r="4" spans="1:26" ht="72.75" customHeight="1" x14ac:dyDescent="0.25">
      <c r="A4" s="14" t="s">
        <v>90</v>
      </c>
      <c r="B4" s="6" t="s">
        <v>6</v>
      </c>
      <c r="C4" s="5" t="s">
        <v>91</v>
      </c>
      <c r="D4" s="5" t="s">
        <v>8</v>
      </c>
      <c r="E4" s="14" t="s">
        <v>92</v>
      </c>
      <c r="F4" s="173" t="s">
        <v>62</v>
      </c>
      <c r="G4" s="173" t="s">
        <v>93</v>
      </c>
      <c r="H4" s="174" t="s">
        <v>101</v>
      </c>
      <c r="I4" s="176" t="s">
        <v>65</v>
      </c>
      <c r="J4" s="174" t="s">
        <v>66</v>
      </c>
      <c r="K4" s="174" t="s">
        <v>67</v>
      </c>
      <c r="L4" s="178" t="s">
        <v>102</v>
      </c>
      <c r="M4" s="14" t="s">
        <v>123</v>
      </c>
      <c r="N4" s="14" t="s">
        <v>124</v>
      </c>
      <c r="O4" s="14" t="s">
        <v>125</v>
      </c>
      <c r="P4" s="14" t="s">
        <v>126</v>
      </c>
      <c r="Q4" s="14" t="s">
        <v>127</v>
      </c>
      <c r="R4" s="2"/>
      <c r="S4" s="2"/>
      <c r="T4" s="2"/>
      <c r="U4" s="2"/>
      <c r="V4" s="2"/>
      <c r="W4" s="2"/>
      <c r="X4" s="2"/>
      <c r="Y4" s="2"/>
      <c r="Z4" s="2"/>
    </row>
    <row r="5" spans="1:26" ht="31.5" customHeight="1" x14ac:dyDescent="0.25">
      <c r="A5" s="350">
        <f>SUM(Q5:Q15)/Q26</f>
        <v>0.74153037383177567</v>
      </c>
      <c r="B5" s="344" t="s">
        <v>21</v>
      </c>
      <c r="C5" s="24">
        <v>2</v>
      </c>
      <c r="D5" s="16" t="s">
        <v>22</v>
      </c>
      <c r="E5" s="180">
        <f>'WAIVER Allocation - Flat Comb'!E5</f>
        <v>2461622.79</v>
      </c>
      <c r="F5" s="182" t="e">
        <f t="shared" ref="F5:F13" si="0">#REF!/#REF!</f>
        <v>#REF!</v>
      </c>
      <c r="G5" s="184" t="e">
        <f>MROUND(#REF!*'FY18 Allocations'!H5,10000)</f>
        <v>#REF!</v>
      </c>
      <c r="H5" s="185">
        <f>'WAIVER Allocation - Flat Comb'!H5</f>
        <v>2460000</v>
      </c>
      <c r="I5" s="186">
        <f>'WAIVER Allocation - Flat Comb'!I5</f>
        <v>0</v>
      </c>
      <c r="J5" s="185">
        <f>'WAIVER Allocation - Flat Comb'!J5</f>
        <v>0</v>
      </c>
      <c r="K5" s="185">
        <f>'WAIVER Allocation - Flat Comb'!K5</f>
        <v>0</v>
      </c>
      <c r="L5" s="185">
        <f>'WAIVER Allocation - Flat Comb'!L5</f>
        <v>2460000</v>
      </c>
      <c r="M5" s="185">
        <f t="shared" ref="M5:M25" si="1">ROUND((H5+L5)/2,2)</f>
        <v>2460000</v>
      </c>
      <c r="N5" s="185"/>
      <c r="O5" s="185"/>
      <c r="P5" s="185">
        <f t="shared" ref="P5:P25" si="2">ROUND((N5+O5)/2,2)</f>
        <v>0</v>
      </c>
      <c r="Q5" s="200">
        <f t="shared" ref="Q5:Q25" si="3">M5+P5</f>
        <v>2460000</v>
      </c>
      <c r="R5" s="2"/>
      <c r="S5" s="2"/>
      <c r="T5" s="2"/>
      <c r="U5" s="2"/>
      <c r="V5" s="2"/>
      <c r="W5" s="2"/>
      <c r="X5" s="2"/>
      <c r="Y5" s="2"/>
      <c r="Z5" s="2"/>
    </row>
    <row r="6" spans="1:26" ht="15.75" customHeight="1" x14ac:dyDescent="0.25">
      <c r="A6" s="342"/>
      <c r="B6" s="342"/>
      <c r="C6" s="34">
        <v>14</v>
      </c>
      <c r="D6" s="39" t="s">
        <v>27</v>
      </c>
      <c r="E6" s="38">
        <f>'WAIVER Allocation - Flat Comb'!E6</f>
        <v>0</v>
      </c>
      <c r="F6" s="177" t="e">
        <f t="shared" si="0"/>
        <v>#REF!</v>
      </c>
      <c r="G6" s="179" t="e">
        <f t="shared" ref="G6:G7" si="4">#REF!</f>
        <v>#REF!</v>
      </c>
      <c r="H6" s="175">
        <f>'WAIVER Allocation - Flat Comb'!H6</f>
        <v>0</v>
      </c>
      <c r="I6" s="189">
        <f>'WAIVER Allocation - Flat Comb'!I6</f>
        <v>0</v>
      </c>
      <c r="J6" s="175">
        <f>'WAIVER Allocation - Flat Comb'!J6</f>
        <v>0</v>
      </c>
      <c r="K6" s="175">
        <f>'WAIVER Allocation - Flat Comb'!K6</f>
        <v>0</v>
      </c>
      <c r="L6" s="175">
        <f>'WAIVER Allocation - Flat Comb'!L6</f>
        <v>0</v>
      </c>
      <c r="M6" s="175">
        <f t="shared" si="1"/>
        <v>0</v>
      </c>
      <c r="N6" s="175"/>
      <c r="O6" s="175"/>
      <c r="P6" s="175">
        <f t="shared" si="2"/>
        <v>0</v>
      </c>
      <c r="Q6" s="175">
        <f t="shared" si="3"/>
        <v>0</v>
      </c>
      <c r="R6" s="2"/>
      <c r="S6" s="2"/>
      <c r="T6" s="2"/>
      <c r="U6" s="2"/>
      <c r="V6" s="2"/>
      <c r="W6" s="2"/>
      <c r="X6" s="2"/>
      <c r="Y6" s="2"/>
      <c r="Z6" s="2"/>
    </row>
    <row r="7" spans="1:26" ht="15.75" customHeight="1" x14ac:dyDescent="0.25">
      <c r="A7" s="342"/>
      <c r="B7" s="342"/>
      <c r="C7" s="181" t="s">
        <v>104</v>
      </c>
      <c r="D7" s="190" t="s">
        <v>28</v>
      </c>
      <c r="E7" s="191">
        <f>'WAIVER Allocation - Flat Comb'!E7</f>
        <v>0</v>
      </c>
      <c r="F7" s="183" t="e">
        <f t="shared" si="0"/>
        <v>#REF!</v>
      </c>
      <c r="G7" s="103" t="e">
        <f t="shared" si="4"/>
        <v>#REF!</v>
      </c>
      <c r="H7" s="103">
        <f>'WAIVER Allocation - Flat Comb'!H7</f>
        <v>0</v>
      </c>
      <c r="I7" s="103">
        <f>'WAIVER Allocation - Flat Comb'!I7</f>
        <v>0</v>
      </c>
      <c r="J7" s="103">
        <f>'WAIVER Allocation - Flat Comb'!J7</f>
        <v>0</v>
      </c>
      <c r="K7" s="103">
        <f>'WAIVER Allocation - Flat Comb'!K7</f>
        <v>0</v>
      </c>
      <c r="L7" s="103">
        <f>'WAIVER Allocation - Flat Comb'!L7</f>
        <v>0</v>
      </c>
      <c r="M7" s="103">
        <f t="shared" si="1"/>
        <v>0</v>
      </c>
      <c r="N7" s="103"/>
      <c r="O7" s="103"/>
      <c r="P7" s="103">
        <f t="shared" si="2"/>
        <v>0</v>
      </c>
      <c r="Q7" s="238">
        <f t="shared" si="3"/>
        <v>0</v>
      </c>
      <c r="R7" s="2"/>
      <c r="S7" s="2"/>
      <c r="T7" s="2"/>
      <c r="U7" s="2"/>
      <c r="V7" s="2"/>
      <c r="W7" s="2"/>
      <c r="X7" s="2"/>
      <c r="Y7" s="2"/>
      <c r="Z7" s="2"/>
    </row>
    <row r="8" spans="1:26" ht="17.25" customHeight="1" x14ac:dyDescent="0.25">
      <c r="A8" s="342"/>
      <c r="B8" s="342"/>
      <c r="C8" s="34">
        <v>17</v>
      </c>
      <c r="D8" s="39" t="s">
        <v>29</v>
      </c>
      <c r="E8" s="38">
        <f>'WAIVER Allocation - Flat Comb'!E8</f>
        <v>0</v>
      </c>
      <c r="F8" s="177" t="e">
        <f t="shared" si="0"/>
        <v>#REF!</v>
      </c>
      <c r="G8" s="179" t="e">
        <f>MROUND(#REF!*'FY18 Allocations'!H8,10000)</f>
        <v>#REF!</v>
      </c>
      <c r="H8" s="175">
        <f>'WAIVER Allocation - Flat Comb'!H8</f>
        <v>0</v>
      </c>
      <c r="I8" s="189">
        <f>'WAIVER Allocation - Flat Comb'!I8</f>
        <v>0</v>
      </c>
      <c r="J8" s="175">
        <f>'WAIVER Allocation - Flat Comb'!J8</f>
        <v>0</v>
      </c>
      <c r="K8" s="175">
        <f>'WAIVER Allocation - Flat Comb'!K8</f>
        <v>0</v>
      </c>
      <c r="L8" s="175">
        <f>'WAIVER Allocation - Flat Comb'!L8</f>
        <v>0</v>
      </c>
      <c r="M8" s="175">
        <f t="shared" si="1"/>
        <v>0</v>
      </c>
      <c r="N8" s="175"/>
      <c r="O8" s="175"/>
      <c r="P8" s="175">
        <f t="shared" si="2"/>
        <v>0</v>
      </c>
      <c r="Q8" s="175">
        <f t="shared" si="3"/>
        <v>0</v>
      </c>
      <c r="R8" s="2"/>
      <c r="S8" s="2"/>
      <c r="T8" s="2"/>
      <c r="U8" s="2"/>
      <c r="V8" s="2"/>
      <c r="W8" s="2"/>
      <c r="X8" s="2"/>
      <c r="Y8" s="2"/>
      <c r="Z8" s="2"/>
    </row>
    <row r="9" spans="1:26" ht="15.75" customHeight="1" x14ac:dyDescent="0.25">
      <c r="A9" s="342"/>
      <c r="B9" s="342"/>
      <c r="C9" s="41">
        <v>1</v>
      </c>
      <c r="D9" s="43" t="s">
        <v>31</v>
      </c>
      <c r="E9" s="142">
        <f>'WAIVER Allocation - Flat Comb'!E9</f>
        <v>1553256.17</v>
      </c>
      <c r="F9" s="193" t="e">
        <f t="shared" si="0"/>
        <v>#REF!</v>
      </c>
      <c r="G9" s="195" t="e">
        <f t="shared" ref="G9:G13" si="5">#REF!</f>
        <v>#REF!</v>
      </c>
      <c r="H9" s="196">
        <f>'WAIVER Allocation - Flat Comb'!H9</f>
        <v>1500000</v>
      </c>
      <c r="I9" s="197">
        <f>'WAIVER Allocation - Flat Comb'!I9</f>
        <v>0</v>
      </c>
      <c r="J9" s="196">
        <f>'WAIVER Allocation - Flat Comb'!J9</f>
        <v>0</v>
      </c>
      <c r="K9" s="196">
        <f>'WAIVER Allocation - Flat Comb'!K9</f>
        <v>0</v>
      </c>
      <c r="L9" s="196">
        <f>'WAIVER Allocation - Flat Comb'!L9</f>
        <v>1550000</v>
      </c>
      <c r="M9" s="196">
        <f t="shared" si="1"/>
        <v>1525000</v>
      </c>
      <c r="N9" s="196"/>
      <c r="O9" s="196"/>
      <c r="P9" s="196">
        <f t="shared" si="2"/>
        <v>0</v>
      </c>
      <c r="Q9" s="200">
        <f t="shared" si="3"/>
        <v>1525000</v>
      </c>
      <c r="R9" s="2"/>
      <c r="S9" s="2"/>
      <c r="T9" s="2"/>
      <c r="U9" s="2"/>
      <c r="V9" s="2"/>
      <c r="W9" s="2"/>
      <c r="X9" s="2"/>
      <c r="Y9" s="2"/>
      <c r="Z9" s="2"/>
    </row>
    <row r="10" spans="1:26" ht="15.75" customHeight="1" x14ac:dyDescent="0.25">
      <c r="A10" s="342"/>
      <c r="B10" s="342"/>
      <c r="C10" s="34">
        <v>10</v>
      </c>
      <c r="D10" s="39" t="s">
        <v>32</v>
      </c>
      <c r="E10" s="38">
        <f>'WAIVER Allocation - Flat Comb'!E10</f>
        <v>4468.26</v>
      </c>
      <c r="F10" s="177" t="e">
        <f t="shared" si="0"/>
        <v>#REF!</v>
      </c>
      <c r="G10" s="179" t="e">
        <f t="shared" si="5"/>
        <v>#REF!</v>
      </c>
      <c r="H10" s="175">
        <f>'WAIVER Allocation - Flat Comb'!H10</f>
        <v>5000</v>
      </c>
      <c r="I10" s="189">
        <f>'WAIVER Allocation - Flat Comb'!I10</f>
        <v>0</v>
      </c>
      <c r="J10" s="175">
        <f>'WAIVER Allocation - Flat Comb'!J10</f>
        <v>0</v>
      </c>
      <c r="K10" s="175">
        <f>'WAIVER Allocation - Flat Comb'!K10</f>
        <v>0</v>
      </c>
      <c r="L10" s="175">
        <f>'WAIVER Allocation - Flat Comb'!L10</f>
        <v>5000</v>
      </c>
      <c r="M10" s="175">
        <f t="shared" si="1"/>
        <v>5000</v>
      </c>
      <c r="N10" s="175"/>
      <c r="O10" s="175"/>
      <c r="P10" s="175">
        <f t="shared" si="2"/>
        <v>0</v>
      </c>
      <c r="Q10" s="200">
        <f t="shared" si="3"/>
        <v>5000</v>
      </c>
      <c r="R10" s="2"/>
      <c r="S10" s="2"/>
      <c r="T10" s="2"/>
      <c r="U10" s="2"/>
      <c r="V10" s="2"/>
      <c r="W10" s="2"/>
      <c r="X10" s="2"/>
      <c r="Y10" s="2"/>
      <c r="Z10" s="2"/>
    </row>
    <row r="11" spans="1:26" ht="15.75" customHeight="1" x14ac:dyDescent="0.25">
      <c r="A11" s="342"/>
      <c r="B11" s="342"/>
      <c r="C11" s="34">
        <v>16</v>
      </c>
      <c r="D11" s="39" t="s">
        <v>33</v>
      </c>
      <c r="E11" s="38">
        <f>'WAIVER Allocation - Flat Comb'!E11</f>
        <v>18617.77</v>
      </c>
      <c r="F11" s="177" t="e">
        <f t="shared" si="0"/>
        <v>#REF!</v>
      </c>
      <c r="G11" s="179" t="e">
        <f t="shared" si="5"/>
        <v>#REF!</v>
      </c>
      <c r="H11" s="175">
        <f>'WAIVER Allocation - Flat Comb'!H11</f>
        <v>20000</v>
      </c>
      <c r="I11" s="189">
        <f>'WAIVER Allocation - Flat Comb'!I11</f>
        <v>0</v>
      </c>
      <c r="J11" s="175">
        <f>'WAIVER Allocation - Flat Comb'!J11</f>
        <v>0</v>
      </c>
      <c r="K11" s="175">
        <f>'WAIVER Allocation - Flat Comb'!K11</f>
        <v>0</v>
      </c>
      <c r="L11" s="175">
        <f>'WAIVER Allocation - Flat Comb'!L11</f>
        <v>20000</v>
      </c>
      <c r="M11" s="175">
        <f t="shared" si="1"/>
        <v>20000</v>
      </c>
      <c r="N11" s="175"/>
      <c r="O11" s="175"/>
      <c r="P11" s="175">
        <f t="shared" si="2"/>
        <v>0</v>
      </c>
      <c r="Q11" s="175">
        <f t="shared" si="3"/>
        <v>20000</v>
      </c>
      <c r="R11" s="2"/>
      <c r="S11" s="2"/>
      <c r="T11" s="2"/>
      <c r="U11" s="2"/>
      <c r="V11" s="2"/>
      <c r="W11" s="2"/>
      <c r="X11" s="2"/>
      <c r="Y11" s="2"/>
      <c r="Z11" s="2"/>
    </row>
    <row r="12" spans="1:26" ht="15.75" customHeight="1" x14ac:dyDescent="0.25">
      <c r="A12" s="342"/>
      <c r="B12" s="342"/>
      <c r="C12" s="34">
        <v>20</v>
      </c>
      <c r="D12" s="39" t="s">
        <v>106</v>
      </c>
      <c r="E12" s="38">
        <f>'WAIVER Allocation - Flat Comb'!E12</f>
        <v>0</v>
      </c>
      <c r="F12" s="177" t="e">
        <f t="shared" si="0"/>
        <v>#REF!</v>
      </c>
      <c r="G12" s="179" t="e">
        <f t="shared" si="5"/>
        <v>#REF!</v>
      </c>
      <c r="H12" s="175">
        <f>'WAIVER Allocation - Flat Comb'!H12</f>
        <v>0</v>
      </c>
      <c r="I12" s="189">
        <f>'WAIVER Allocation - Flat Comb'!I12</f>
        <v>0</v>
      </c>
      <c r="J12" s="175">
        <f>'WAIVER Allocation - Flat Comb'!J12</f>
        <v>0</v>
      </c>
      <c r="K12" s="175">
        <f>'WAIVER Allocation - Flat Comb'!K12</f>
        <v>0</v>
      </c>
      <c r="L12" s="175">
        <f>'WAIVER Allocation - Flat Comb'!L12</f>
        <v>0</v>
      </c>
      <c r="M12" s="175">
        <f t="shared" si="1"/>
        <v>0</v>
      </c>
      <c r="N12" s="175"/>
      <c r="O12" s="175"/>
      <c r="P12" s="175">
        <f t="shared" si="2"/>
        <v>0</v>
      </c>
      <c r="Q12" s="200">
        <f t="shared" si="3"/>
        <v>0</v>
      </c>
      <c r="R12" s="2"/>
      <c r="S12" s="2"/>
      <c r="T12" s="2"/>
      <c r="U12" s="2"/>
      <c r="V12" s="2"/>
      <c r="W12" s="2"/>
      <c r="X12" s="2"/>
      <c r="Y12" s="2"/>
      <c r="Z12" s="2"/>
    </row>
    <row r="13" spans="1:26" ht="15.75" customHeight="1" x14ac:dyDescent="0.25">
      <c r="A13" s="342"/>
      <c r="B13" s="342"/>
      <c r="C13" s="34">
        <v>8</v>
      </c>
      <c r="D13" s="39" t="s">
        <v>35</v>
      </c>
      <c r="E13" s="38">
        <f>'WAIVER Allocation - Flat Comb'!E13</f>
        <v>190645.93</v>
      </c>
      <c r="F13" s="177" t="e">
        <f t="shared" si="0"/>
        <v>#REF!</v>
      </c>
      <c r="G13" s="179" t="e">
        <f t="shared" si="5"/>
        <v>#REF!</v>
      </c>
      <c r="H13" s="175">
        <f>'WAIVER Allocation - Flat Comb'!H13</f>
        <v>195000</v>
      </c>
      <c r="I13" s="189">
        <f>'WAIVER Allocation - Flat Comb'!I13</f>
        <v>0</v>
      </c>
      <c r="J13" s="175">
        <f>'WAIVER Allocation - Flat Comb'!J13</f>
        <v>0</v>
      </c>
      <c r="K13" s="175">
        <f>'WAIVER Allocation - Flat Comb'!K13</f>
        <v>0</v>
      </c>
      <c r="L13" s="175">
        <f>'WAIVER Allocation - Flat Comb'!L13</f>
        <v>180000</v>
      </c>
      <c r="M13" s="175">
        <f t="shared" si="1"/>
        <v>187500</v>
      </c>
      <c r="N13" s="175"/>
      <c r="O13" s="175"/>
      <c r="P13" s="175">
        <f t="shared" si="2"/>
        <v>0</v>
      </c>
      <c r="Q13" s="175">
        <f t="shared" si="3"/>
        <v>187500</v>
      </c>
      <c r="R13" s="2"/>
      <c r="S13" s="2"/>
      <c r="T13" s="2"/>
      <c r="U13" s="2"/>
      <c r="V13" s="2"/>
      <c r="W13" s="2"/>
      <c r="X13" s="2"/>
      <c r="Y13" s="2"/>
      <c r="Z13" s="2"/>
    </row>
    <row r="14" spans="1:26" ht="15.75" customHeight="1" x14ac:dyDescent="0.25">
      <c r="A14" s="342"/>
      <c r="B14" s="342"/>
      <c r="C14" s="198">
        <v>12</v>
      </c>
      <c r="D14" s="39" t="s">
        <v>36</v>
      </c>
      <c r="E14" s="38">
        <f>'WAIVER Allocation - Flat Comb'!E14</f>
        <v>247243.94</v>
      </c>
      <c r="F14" s="177"/>
      <c r="G14" s="179"/>
      <c r="H14" s="175">
        <f>'WAIVER Allocation - Flat Comb'!H14</f>
        <v>250000</v>
      </c>
      <c r="I14" s="175">
        <f>'WAIVER Allocation - Flat Comb'!I14</f>
        <v>0</v>
      </c>
      <c r="J14" s="175">
        <f>'WAIVER Allocation - Flat Comb'!J14</f>
        <v>0</v>
      </c>
      <c r="K14" s="175">
        <f>'WAIVER Allocation - Flat Comb'!K14</f>
        <v>0</v>
      </c>
      <c r="L14" s="175">
        <f>'WAIVER Allocation - Flat Comb'!L14</f>
        <v>250000</v>
      </c>
      <c r="M14" s="175">
        <f t="shared" si="1"/>
        <v>250000</v>
      </c>
      <c r="N14" s="175"/>
      <c r="O14" s="175"/>
      <c r="P14" s="175">
        <f t="shared" si="2"/>
        <v>0</v>
      </c>
      <c r="Q14" s="196">
        <f t="shared" si="3"/>
        <v>250000</v>
      </c>
      <c r="R14" s="2"/>
      <c r="S14" s="2"/>
      <c r="T14" s="2"/>
      <c r="U14" s="2"/>
      <c r="V14" s="2"/>
      <c r="W14" s="2"/>
      <c r="X14" s="2"/>
      <c r="Y14" s="2"/>
      <c r="Z14" s="2"/>
    </row>
    <row r="15" spans="1:26" ht="16.5" customHeight="1" x14ac:dyDescent="0.25">
      <c r="A15" s="343"/>
      <c r="B15" s="343"/>
      <c r="C15" s="137">
        <v>4</v>
      </c>
      <c r="D15" s="7" t="s">
        <v>37</v>
      </c>
      <c r="E15" s="126">
        <f>'WAIVER Allocation - Flat Comb'!E15</f>
        <v>1904969.9</v>
      </c>
      <c r="F15" s="7"/>
      <c r="G15" s="7"/>
      <c r="H15" s="178">
        <f>'WAIVER Allocation - Flat Comb'!H15</f>
        <v>1900000</v>
      </c>
      <c r="I15" s="178">
        <f>'WAIVER Allocation - Flat Comb'!I15</f>
        <v>0</v>
      </c>
      <c r="J15" s="178">
        <f>'WAIVER Allocation - Flat Comb'!J15</f>
        <v>0</v>
      </c>
      <c r="K15" s="178">
        <f>'WAIVER Allocation - Flat Comb'!K15</f>
        <v>0</v>
      </c>
      <c r="L15" s="178">
        <f>'WAIVER Allocation - Flat Comb'!L15</f>
        <v>1900000</v>
      </c>
      <c r="M15" s="178">
        <f t="shared" si="1"/>
        <v>1900000</v>
      </c>
      <c r="N15" s="178"/>
      <c r="O15" s="178"/>
      <c r="P15" s="178">
        <f t="shared" si="2"/>
        <v>0</v>
      </c>
      <c r="Q15" s="178">
        <f t="shared" si="3"/>
        <v>1900000</v>
      </c>
      <c r="R15" s="2"/>
      <c r="S15" s="2"/>
      <c r="T15" s="2"/>
      <c r="U15" s="2"/>
      <c r="V15" s="2"/>
      <c r="W15" s="2"/>
      <c r="X15" s="2"/>
      <c r="Y15" s="2"/>
      <c r="Z15" s="2"/>
    </row>
    <row r="16" spans="1:26" ht="15.75" customHeight="1" x14ac:dyDescent="0.25">
      <c r="A16" s="350">
        <f>SUM(Q16:Q25)/Q26</f>
        <v>0.25846962616822428</v>
      </c>
      <c r="B16" s="344" t="s">
        <v>39</v>
      </c>
      <c r="C16" s="24">
        <v>11</v>
      </c>
      <c r="D16" s="131" t="s">
        <v>40</v>
      </c>
      <c r="E16" s="20">
        <f>'WAIVER Allocation - Flat Comb'!E16</f>
        <v>116174.86</v>
      </c>
      <c r="F16" s="201" t="e">
        <f t="shared" ref="F16:F25" si="6">#REF!/#REF!</f>
        <v>#REF!</v>
      </c>
      <c r="G16" s="202" t="e">
        <f t="shared" ref="G16:G25" si="7">#REF!</f>
        <v>#REF!</v>
      </c>
      <c r="H16" s="200">
        <f>'WAIVER Allocation - Flat Comb'!H16</f>
        <v>120000</v>
      </c>
      <c r="I16" s="204">
        <f>'WAIVER Allocation - Flat Comb'!I16</f>
        <v>0</v>
      </c>
      <c r="J16" s="200">
        <f>'WAIVER Allocation - Flat Comb'!J16</f>
        <v>0</v>
      </c>
      <c r="K16" s="200">
        <f>'WAIVER Allocation - Flat Comb'!K16</f>
        <v>0</v>
      </c>
      <c r="L16" s="200">
        <f>'WAIVER Allocation - Flat Comb'!L16</f>
        <v>115000</v>
      </c>
      <c r="M16" s="200">
        <f t="shared" si="1"/>
        <v>117500</v>
      </c>
      <c r="N16" s="200">
        <v>5000</v>
      </c>
      <c r="O16" s="200">
        <v>70000</v>
      </c>
      <c r="P16" s="200">
        <f t="shared" si="2"/>
        <v>37500</v>
      </c>
      <c r="Q16" s="200">
        <f t="shared" si="3"/>
        <v>155000</v>
      </c>
      <c r="R16" s="2"/>
      <c r="S16" s="2"/>
      <c r="T16" s="2"/>
      <c r="U16" s="2"/>
      <c r="V16" s="2"/>
      <c r="W16" s="2"/>
      <c r="X16" s="2"/>
      <c r="Y16" s="2"/>
      <c r="Z16" s="2"/>
    </row>
    <row r="17" spans="1:26" ht="15.75" customHeight="1" x14ac:dyDescent="0.25">
      <c r="A17" s="342"/>
      <c r="B17" s="342"/>
      <c r="C17" s="24">
        <v>15</v>
      </c>
      <c r="D17" s="39" t="s">
        <v>41</v>
      </c>
      <c r="E17" s="38">
        <f>'WAIVER Allocation - Flat Comb'!E17</f>
        <v>0</v>
      </c>
      <c r="F17" s="177" t="e">
        <f t="shared" si="6"/>
        <v>#REF!</v>
      </c>
      <c r="G17" s="179" t="e">
        <f t="shared" si="7"/>
        <v>#REF!</v>
      </c>
      <c r="H17" s="175">
        <f>'WAIVER Allocation - Flat Comb'!H17</f>
        <v>0</v>
      </c>
      <c r="I17" s="189">
        <f>'WAIVER Allocation - Flat Comb'!I17</f>
        <v>0</v>
      </c>
      <c r="J17" s="175">
        <f>'WAIVER Allocation - Flat Comb'!J17</f>
        <v>0</v>
      </c>
      <c r="K17" s="175">
        <f>'WAIVER Allocation - Flat Comb'!K17</f>
        <v>0</v>
      </c>
      <c r="L17" s="175">
        <f>'WAIVER Allocation - Flat Comb'!L17</f>
        <v>0</v>
      </c>
      <c r="M17" s="175">
        <f t="shared" si="1"/>
        <v>0</v>
      </c>
      <c r="N17" s="175"/>
      <c r="O17" s="175"/>
      <c r="P17" s="175">
        <f t="shared" si="2"/>
        <v>0</v>
      </c>
      <c r="Q17" s="200">
        <f t="shared" si="3"/>
        <v>0</v>
      </c>
      <c r="R17" s="2"/>
      <c r="S17" s="2"/>
      <c r="T17" s="2"/>
      <c r="U17" s="2"/>
      <c r="V17" s="2"/>
      <c r="W17" s="2"/>
      <c r="X17" s="2"/>
      <c r="Y17" s="2"/>
      <c r="Z17" s="2"/>
    </row>
    <row r="18" spans="1:26" ht="15.75" customHeight="1" x14ac:dyDescent="0.25">
      <c r="A18" s="342"/>
      <c r="B18" s="342"/>
      <c r="C18" s="24">
        <v>5</v>
      </c>
      <c r="D18" s="39" t="s">
        <v>42</v>
      </c>
      <c r="E18" s="38">
        <f>'WAIVER Allocation - Flat Comb'!E18</f>
        <v>460975.9</v>
      </c>
      <c r="F18" s="177" t="e">
        <f t="shared" si="6"/>
        <v>#REF!</v>
      </c>
      <c r="G18" s="179" t="e">
        <f t="shared" si="7"/>
        <v>#REF!</v>
      </c>
      <c r="H18" s="175">
        <f>'WAIVER Allocation - Flat Comb'!H18</f>
        <v>470000</v>
      </c>
      <c r="I18" s="189">
        <f>'WAIVER Allocation - Flat Comb'!I18</f>
        <v>0</v>
      </c>
      <c r="J18" s="175">
        <f>'WAIVER Allocation - Flat Comb'!J18</f>
        <v>0</v>
      </c>
      <c r="K18" s="175">
        <f>'WAIVER Allocation - Flat Comb'!K18</f>
        <v>0</v>
      </c>
      <c r="L18" s="175">
        <f>'WAIVER Allocation - Flat Comb'!L18</f>
        <v>460000</v>
      </c>
      <c r="M18" s="175">
        <f t="shared" si="1"/>
        <v>465000</v>
      </c>
      <c r="N18" s="175">
        <v>50000</v>
      </c>
      <c r="O18" s="175">
        <v>200000</v>
      </c>
      <c r="P18" s="175">
        <f t="shared" si="2"/>
        <v>125000</v>
      </c>
      <c r="Q18" s="175">
        <f t="shared" si="3"/>
        <v>590000</v>
      </c>
      <c r="R18" s="2"/>
      <c r="S18" s="2"/>
      <c r="T18" s="2"/>
      <c r="U18" s="2"/>
      <c r="V18" s="2"/>
      <c r="W18" s="2"/>
      <c r="X18" s="2"/>
      <c r="Y18" s="2"/>
      <c r="Z18" s="2"/>
    </row>
    <row r="19" spans="1:26" ht="15.75" customHeight="1" x14ac:dyDescent="0.25">
      <c r="A19" s="342"/>
      <c r="B19" s="342"/>
      <c r="C19" s="24">
        <v>6</v>
      </c>
      <c r="D19" s="39" t="s">
        <v>43</v>
      </c>
      <c r="E19" s="38">
        <f>'WAIVER Allocation - Flat Comb'!E19</f>
        <v>330651.53999999998</v>
      </c>
      <c r="F19" s="177" t="e">
        <f t="shared" si="6"/>
        <v>#REF!</v>
      </c>
      <c r="G19" s="179" t="e">
        <f t="shared" si="7"/>
        <v>#REF!</v>
      </c>
      <c r="H19" s="175">
        <f>'WAIVER Allocation - Flat Comb'!H19</f>
        <v>340000</v>
      </c>
      <c r="I19" s="189">
        <f>'WAIVER Allocation - Flat Comb'!I19</f>
        <v>0</v>
      </c>
      <c r="J19" s="175">
        <f>'WAIVER Allocation - Flat Comb'!J19</f>
        <v>0</v>
      </c>
      <c r="K19" s="175">
        <f>'WAIVER Allocation - Flat Comb'!K19</f>
        <v>0</v>
      </c>
      <c r="L19" s="175">
        <f>'WAIVER Allocation - Flat Comb'!L19</f>
        <v>330000</v>
      </c>
      <c r="M19" s="175">
        <f t="shared" si="1"/>
        <v>335000</v>
      </c>
      <c r="N19" s="175">
        <v>55000</v>
      </c>
      <c r="O19" s="175">
        <v>60000</v>
      </c>
      <c r="P19" s="175">
        <f t="shared" si="2"/>
        <v>57500</v>
      </c>
      <c r="Q19" s="200">
        <f t="shared" si="3"/>
        <v>392500</v>
      </c>
      <c r="R19" s="2"/>
      <c r="S19" s="2"/>
      <c r="T19" s="2"/>
      <c r="U19" s="2"/>
      <c r="V19" s="2"/>
      <c r="W19" s="2"/>
      <c r="X19" s="2"/>
      <c r="Y19" s="2"/>
      <c r="Z19" s="2"/>
    </row>
    <row r="20" spans="1:26" ht="15.75" customHeight="1" x14ac:dyDescent="0.25">
      <c r="A20" s="342"/>
      <c r="B20" s="342"/>
      <c r="C20" s="24">
        <v>9</v>
      </c>
      <c r="D20" s="39" t="s">
        <v>44</v>
      </c>
      <c r="E20" s="38">
        <f>'WAIVER Allocation - Flat Comb'!E20</f>
        <v>78939.33</v>
      </c>
      <c r="F20" s="177" t="e">
        <f t="shared" si="6"/>
        <v>#REF!</v>
      </c>
      <c r="G20" s="179" t="e">
        <f t="shared" si="7"/>
        <v>#REF!</v>
      </c>
      <c r="H20" s="175">
        <f>'WAIVER Allocation - Flat Comb'!H20</f>
        <v>80000</v>
      </c>
      <c r="I20" s="189">
        <f>'WAIVER Allocation - Flat Comb'!I20</f>
        <v>0</v>
      </c>
      <c r="J20" s="175">
        <f>'WAIVER Allocation - Flat Comb'!J20</f>
        <v>0</v>
      </c>
      <c r="K20" s="175">
        <f>'WAIVER Allocation - Flat Comb'!K20</f>
        <v>0</v>
      </c>
      <c r="L20" s="175">
        <f>'WAIVER Allocation - Flat Comb'!L20</f>
        <v>80000</v>
      </c>
      <c r="M20" s="175">
        <f t="shared" si="1"/>
        <v>80000</v>
      </c>
      <c r="N20" s="175"/>
      <c r="O20" s="175"/>
      <c r="P20" s="175">
        <f t="shared" si="2"/>
        <v>0</v>
      </c>
      <c r="Q20" s="175">
        <f t="shared" si="3"/>
        <v>80000</v>
      </c>
      <c r="R20" s="2"/>
      <c r="S20" s="2"/>
      <c r="T20" s="2"/>
      <c r="U20" s="2"/>
      <c r="V20" s="2"/>
      <c r="W20" s="2"/>
      <c r="X20" s="2"/>
      <c r="Y20" s="2"/>
      <c r="Z20" s="2"/>
    </row>
    <row r="21" spans="1:26" ht="15.75" customHeight="1" x14ac:dyDescent="0.25">
      <c r="A21" s="342"/>
      <c r="B21" s="342"/>
      <c r="C21" s="24">
        <v>18</v>
      </c>
      <c r="D21" s="39" t="s">
        <v>45</v>
      </c>
      <c r="E21" s="38">
        <f>'WAIVER Allocation - Flat Comb'!E21</f>
        <v>0</v>
      </c>
      <c r="F21" s="177" t="e">
        <f t="shared" si="6"/>
        <v>#REF!</v>
      </c>
      <c r="G21" s="179" t="e">
        <f t="shared" si="7"/>
        <v>#REF!</v>
      </c>
      <c r="H21" s="175">
        <f>'WAIVER Allocation - Flat Comb'!H21</f>
        <v>0</v>
      </c>
      <c r="I21" s="189">
        <f>'WAIVER Allocation - Flat Comb'!I21</f>
        <v>0</v>
      </c>
      <c r="J21" s="175">
        <f>'WAIVER Allocation - Flat Comb'!J21</f>
        <v>0</v>
      </c>
      <c r="K21" s="175">
        <f>'WAIVER Allocation - Flat Comb'!K21</f>
        <v>0</v>
      </c>
      <c r="L21" s="175">
        <f>'WAIVER Allocation - Flat Comb'!L21</f>
        <v>0</v>
      </c>
      <c r="M21" s="175">
        <f t="shared" si="1"/>
        <v>0</v>
      </c>
      <c r="N21" s="175"/>
      <c r="O21" s="175"/>
      <c r="P21" s="175">
        <f t="shared" si="2"/>
        <v>0</v>
      </c>
      <c r="Q21" s="200">
        <f t="shared" si="3"/>
        <v>0</v>
      </c>
      <c r="R21" s="2"/>
      <c r="S21" s="2"/>
      <c r="T21" s="2"/>
      <c r="U21" s="2"/>
      <c r="V21" s="2"/>
      <c r="W21" s="2"/>
      <c r="X21" s="2"/>
      <c r="Y21" s="2"/>
      <c r="Z21" s="2"/>
    </row>
    <row r="22" spans="1:26" ht="15.75" customHeight="1" x14ac:dyDescent="0.25">
      <c r="A22" s="342"/>
      <c r="B22" s="342"/>
      <c r="C22" s="34">
        <v>3</v>
      </c>
      <c r="D22" s="39" t="s">
        <v>46</v>
      </c>
      <c r="E22" s="38">
        <f>'WAIVER Allocation - Flat Comb'!E22</f>
        <v>689602.08</v>
      </c>
      <c r="F22" s="177" t="e">
        <f t="shared" si="6"/>
        <v>#REF!</v>
      </c>
      <c r="G22" s="179" t="e">
        <f t="shared" si="7"/>
        <v>#REF!</v>
      </c>
      <c r="H22" s="175">
        <f>'WAIVER Allocation - Flat Comb'!H22</f>
        <v>690000</v>
      </c>
      <c r="I22" s="189">
        <f>'WAIVER Allocation - Flat Comb'!I22</f>
        <v>0</v>
      </c>
      <c r="J22" s="175">
        <f>'WAIVER Allocation - Flat Comb'!J22</f>
        <v>0</v>
      </c>
      <c r="K22" s="175">
        <f>'WAIVER Allocation - Flat Comb'!K22</f>
        <v>0</v>
      </c>
      <c r="L22" s="175">
        <f>'WAIVER Allocation - Flat Comb'!L22</f>
        <v>700000</v>
      </c>
      <c r="M22" s="175">
        <f t="shared" si="1"/>
        <v>695000</v>
      </c>
      <c r="N22" s="175">
        <v>150000</v>
      </c>
      <c r="O22" s="175">
        <v>80000</v>
      </c>
      <c r="P22" s="175">
        <f t="shared" si="2"/>
        <v>115000</v>
      </c>
      <c r="Q22" s="175">
        <f t="shared" si="3"/>
        <v>810000</v>
      </c>
      <c r="R22" s="2"/>
      <c r="S22" s="2"/>
      <c r="T22" s="2"/>
      <c r="U22" s="2"/>
      <c r="V22" s="2"/>
      <c r="W22" s="2"/>
      <c r="X22" s="2"/>
      <c r="Y22" s="2"/>
      <c r="Z22" s="2"/>
    </row>
    <row r="23" spans="1:26" ht="15.75" customHeight="1" x14ac:dyDescent="0.25">
      <c r="A23" s="342"/>
      <c r="B23" s="342"/>
      <c r="C23" s="34">
        <v>13</v>
      </c>
      <c r="D23" s="39" t="s">
        <v>47</v>
      </c>
      <c r="E23" s="38">
        <f>'WAIVER Allocation - Flat Comb'!E23</f>
        <v>23086.03</v>
      </c>
      <c r="F23" s="177" t="e">
        <f t="shared" si="6"/>
        <v>#REF!</v>
      </c>
      <c r="G23" s="179" t="e">
        <f t="shared" si="7"/>
        <v>#REF!</v>
      </c>
      <c r="H23" s="175">
        <f>'WAIVER Allocation - Flat Comb'!H23</f>
        <v>30000</v>
      </c>
      <c r="I23" s="189">
        <f>'WAIVER Allocation - Flat Comb'!I23</f>
        <v>0</v>
      </c>
      <c r="J23" s="175">
        <f>'WAIVER Allocation - Flat Comb'!J23</f>
        <v>0</v>
      </c>
      <c r="K23" s="175">
        <f>'WAIVER Allocation - Flat Comb'!K23</f>
        <v>0</v>
      </c>
      <c r="L23" s="175">
        <f>'WAIVER Allocation - Flat Comb'!L23</f>
        <v>30000</v>
      </c>
      <c r="M23" s="175">
        <f t="shared" si="1"/>
        <v>30000</v>
      </c>
      <c r="N23" s="175"/>
      <c r="O23" s="175"/>
      <c r="P23" s="175">
        <f t="shared" si="2"/>
        <v>0</v>
      </c>
      <c r="Q23" s="200">
        <f t="shared" si="3"/>
        <v>30000</v>
      </c>
      <c r="R23" s="2"/>
      <c r="S23" s="2"/>
      <c r="T23" s="2"/>
      <c r="U23" s="2"/>
      <c r="V23" s="2"/>
      <c r="W23" s="2"/>
      <c r="X23" s="2"/>
      <c r="Y23" s="2"/>
      <c r="Z23" s="2"/>
    </row>
    <row r="24" spans="1:26" ht="15.75" customHeight="1" x14ac:dyDescent="0.25">
      <c r="A24" s="342"/>
      <c r="B24" s="342"/>
      <c r="C24" s="206">
        <v>7</v>
      </c>
      <c r="D24" s="43" t="s">
        <v>48</v>
      </c>
      <c r="E24" s="142">
        <f>'WAIVER Allocation - Flat Comb'!E24</f>
        <v>70002.8</v>
      </c>
      <c r="F24" s="193" t="e">
        <f t="shared" si="6"/>
        <v>#REF!</v>
      </c>
      <c r="G24" s="195" t="e">
        <f t="shared" si="7"/>
        <v>#REF!</v>
      </c>
      <c r="H24" s="196">
        <f>'WAIVER Allocation - Flat Comb'!H24</f>
        <v>90000</v>
      </c>
      <c r="I24" s="197">
        <f>'WAIVER Allocation - Flat Comb'!I24</f>
        <v>0</v>
      </c>
      <c r="J24" s="196">
        <f>'WAIVER Allocation - Flat Comb'!J24</f>
        <v>0</v>
      </c>
      <c r="K24" s="196">
        <f>'WAIVER Allocation - Flat Comb'!K24</f>
        <v>0</v>
      </c>
      <c r="L24" s="196">
        <f>'WAIVER Allocation - Flat Comb'!L24</f>
        <v>70000</v>
      </c>
      <c r="M24" s="196">
        <f t="shared" si="1"/>
        <v>80000</v>
      </c>
      <c r="N24" s="196">
        <v>150000</v>
      </c>
      <c r="O24" s="196"/>
      <c r="P24" s="196">
        <f t="shared" si="2"/>
        <v>75000</v>
      </c>
      <c r="Q24" s="196">
        <f t="shared" si="3"/>
        <v>155000</v>
      </c>
      <c r="R24" s="2"/>
      <c r="S24" s="2"/>
      <c r="T24" s="2"/>
      <c r="U24" s="2"/>
      <c r="V24" s="2"/>
      <c r="W24" s="2"/>
      <c r="X24" s="2"/>
      <c r="Y24" s="2"/>
      <c r="Z24" s="2"/>
    </row>
    <row r="25" spans="1:26" ht="15.75" customHeight="1" x14ac:dyDescent="0.25">
      <c r="A25" s="342"/>
      <c r="B25" s="342"/>
      <c r="C25" s="137">
        <v>19</v>
      </c>
      <c r="D25" s="139" t="s">
        <v>49</v>
      </c>
      <c r="E25" s="126">
        <f>'WAIVER Allocation - Flat Comb'!E25</f>
        <v>0</v>
      </c>
      <c r="F25" s="209" t="e">
        <f t="shared" si="6"/>
        <v>#REF!</v>
      </c>
      <c r="G25" s="210" t="e">
        <f t="shared" si="7"/>
        <v>#REF!</v>
      </c>
      <c r="H25" s="178">
        <f>'WAIVER Allocation - Flat Comb'!H25</f>
        <v>0</v>
      </c>
      <c r="I25" s="213">
        <f>'WAIVER Allocation - Flat Comb'!I25</f>
        <v>0</v>
      </c>
      <c r="J25" s="178">
        <f>'WAIVER Allocation - Flat Comb'!J25</f>
        <v>0</v>
      </c>
      <c r="K25" s="178">
        <f>'WAIVER Allocation - Flat Comb'!K25</f>
        <v>0</v>
      </c>
      <c r="L25" s="178">
        <f>'WAIVER Allocation - Flat Comb'!L25</f>
        <v>0</v>
      </c>
      <c r="M25" s="178">
        <f t="shared" si="1"/>
        <v>0</v>
      </c>
      <c r="N25" s="178"/>
      <c r="O25" s="178"/>
      <c r="P25" s="178">
        <f t="shared" si="2"/>
        <v>0</v>
      </c>
      <c r="Q25" s="178">
        <f t="shared" si="3"/>
        <v>0</v>
      </c>
      <c r="R25" s="2"/>
      <c r="S25" s="2"/>
      <c r="T25" s="2"/>
      <c r="U25" s="2"/>
      <c r="V25" s="2"/>
      <c r="W25" s="2"/>
      <c r="X25" s="2"/>
      <c r="Y25" s="2"/>
      <c r="Z25" s="2"/>
    </row>
    <row r="26" spans="1:26" ht="15.75" customHeight="1" x14ac:dyDescent="0.25">
      <c r="A26" s="129"/>
      <c r="B26" s="130"/>
      <c r="C26" s="131"/>
      <c r="D26" s="149" t="s">
        <v>69</v>
      </c>
      <c r="E26" s="133">
        <f t="shared" ref="E26:Q26" si="8">SUM(E5:E25)</f>
        <v>8150257.3000000007</v>
      </c>
      <c r="F26" s="216" t="e">
        <f t="shared" si="8"/>
        <v>#REF!</v>
      </c>
      <c r="G26" s="216" t="e">
        <f t="shared" si="8"/>
        <v>#REF!</v>
      </c>
      <c r="H26" s="216">
        <f t="shared" si="8"/>
        <v>8150000</v>
      </c>
      <c r="I26" s="216">
        <f t="shared" si="8"/>
        <v>0</v>
      </c>
      <c r="J26" s="216">
        <f t="shared" si="8"/>
        <v>0</v>
      </c>
      <c r="K26" s="216">
        <f t="shared" si="8"/>
        <v>0</v>
      </c>
      <c r="L26" s="216">
        <f t="shared" si="8"/>
        <v>8150000</v>
      </c>
      <c r="M26" s="216">
        <f t="shared" si="8"/>
        <v>8150000</v>
      </c>
      <c r="N26" s="216">
        <f t="shared" si="8"/>
        <v>410000</v>
      </c>
      <c r="O26" s="216">
        <f t="shared" si="8"/>
        <v>410000</v>
      </c>
      <c r="P26" s="216">
        <f t="shared" si="8"/>
        <v>410000</v>
      </c>
      <c r="Q26" s="216">
        <f t="shared" si="8"/>
        <v>8560000</v>
      </c>
      <c r="R26" s="65">
        <f>'FY18 Allocations'!E40</f>
        <v>8150257.3000000007</v>
      </c>
      <c r="S26" s="251">
        <f t="shared" ref="S26:S27" si="9">(Q26-R26)/R26</f>
        <v>5.0273590749091962E-2</v>
      </c>
      <c r="T26" s="2"/>
      <c r="U26" s="2"/>
      <c r="V26" s="2"/>
      <c r="W26" s="2"/>
      <c r="X26" s="2"/>
      <c r="Y26" s="2"/>
      <c r="Z26" s="2"/>
    </row>
    <row r="27" spans="1:26" ht="15.75" customHeight="1" x14ac:dyDescent="0.25">
      <c r="A27" s="2"/>
      <c r="B27" s="2"/>
      <c r="C27" s="2"/>
      <c r="D27" s="252" t="s">
        <v>109</v>
      </c>
      <c r="E27" s="220">
        <f t="shared" ref="E27:Q27" si="10">MROUND(E26,10000)</f>
        <v>8150000</v>
      </c>
      <c r="F27" s="220" t="e">
        <f t="shared" si="10"/>
        <v>#REF!</v>
      </c>
      <c r="G27" s="220" t="e">
        <f t="shared" si="10"/>
        <v>#REF!</v>
      </c>
      <c r="H27" s="220">
        <f t="shared" si="10"/>
        <v>8150000</v>
      </c>
      <c r="I27" s="220">
        <f t="shared" si="10"/>
        <v>0</v>
      </c>
      <c r="J27" s="220">
        <f t="shared" si="10"/>
        <v>0</v>
      </c>
      <c r="K27" s="220">
        <f t="shared" si="10"/>
        <v>0</v>
      </c>
      <c r="L27" s="220">
        <f t="shared" si="10"/>
        <v>8150000</v>
      </c>
      <c r="M27" s="220">
        <f t="shared" si="10"/>
        <v>8150000</v>
      </c>
      <c r="N27" s="220">
        <f t="shared" si="10"/>
        <v>410000</v>
      </c>
      <c r="O27" s="220">
        <f t="shared" si="10"/>
        <v>410000</v>
      </c>
      <c r="P27" s="220">
        <f t="shared" si="10"/>
        <v>410000</v>
      </c>
      <c r="Q27" s="220">
        <f t="shared" si="10"/>
        <v>8560000</v>
      </c>
      <c r="R27" s="166">
        <f>'WAIVER Allocation - Flat Comb'!$E$29</f>
        <v>8150000</v>
      </c>
      <c r="S27" s="251">
        <f t="shared" si="9"/>
        <v>5.030674846625767E-2</v>
      </c>
      <c r="T27" s="2"/>
      <c r="U27" s="2"/>
      <c r="V27" s="2"/>
      <c r="W27" s="2"/>
      <c r="X27" s="2"/>
      <c r="Y27" s="2"/>
      <c r="Z27" s="2"/>
    </row>
    <row r="28" spans="1:26" ht="15.75" customHeight="1" x14ac:dyDescent="0.25">
      <c r="A28" s="2"/>
      <c r="B28" s="2"/>
      <c r="C28" s="2"/>
      <c r="D28" s="2"/>
      <c r="E28" s="2"/>
      <c r="F28" s="165"/>
      <c r="G28" s="138" t="e">
        <f>G27+#REF!</f>
        <v>#REF!</v>
      </c>
      <c r="H28" s="138"/>
      <c r="I28" s="9"/>
      <c r="J28" s="166"/>
      <c r="K28" s="30"/>
      <c r="L28" s="2"/>
      <c r="M28" s="2"/>
      <c r="N28" s="2"/>
      <c r="O28" s="2"/>
      <c r="P28" s="2"/>
      <c r="Q28" s="2"/>
      <c r="R28" s="2"/>
      <c r="S28" s="2"/>
      <c r="T28" s="2"/>
      <c r="U28" s="2"/>
      <c r="V28" s="2"/>
      <c r="W28" s="2"/>
      <c r="X28" s="2"/>
      <c r="Y28" s="2"/>
      <c r="Z28" s="2"/>
    </row>
    <row r="29" spans="1:26" ht="15.75" customHeight="1" x14ac:dyDescent="0.25">
      <c r="A29" s="2"/>
      <c r="B29" s="2"/>
      <c r="C29" s="2"/>
      <c r="D29" s="221" t="s">
        <v>110</v>
      </c>
      <c r="E29" s="138">
        <f>MROUND('FY18 Allocations'!E40,10000)</f>
        <v>8150000</v>
      </c>
      <c r="F29" s="165"/>
      <c r="G29" s="165"/>
      <c r="H29" s="138">
        <f>E29</f>
        <v>8150000</v>
      </c>
      <c r="I29" s="9"/>
      <c r="J29" s="166"/>
      <c r="K29" s="30"/>
      <c r="L29" s="138">
        <f>E29</f>
        <v>8150000</v>
      </c>
      <c r="M29" s="138">
        <f>E29</f>
        <v>8150000</v>
      </c>
      <c r="N29" s="138">
        <f>E29</f>
        <v>8150000</v>
      </c>
      <c r="O29" s="138">
        <f>E29</f>
        <v>8150000</v>
      </c>
      <c r="P29" s="257">
        <f>I29</f>
        <v>0</v>
      </c>
      <c r="Q29" s="258">
        <f>E27</f>
        <v>8150000</v>
      </c>
      <c r="R29" s="2"/>
      <c r="S29" s="2"/>
      <c r="T29" s="2"/>
      <c r="U29" s="2"/>
      <c r="V29" s="2"/>
      <c r="W29" s="2"/>
      <c r="X29" s="2"/>
      <c r="Y29" s="2"/>
      <c r="Z29" s="2"/>
    </row>
    <row r="30" spans="1:26" ht="15.75" customHeight="1" x14ac:dyDescent="0.25">
      <c r="A30" s="2"/>
      <c r="B30" s="2"/>
      <c r="C30" s="2"/>
      <c r="D30" s="67"/>
      <c r="E30" s="138"/>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59">
        <f>'Base Allocation Coin Calculatio'!$D$29</f>
        <v>406999.99999999627</v>
      </c>
      <c r="D31" s="67" t="s">
        <v>111</v>
      </c>
      <c r="E31" s="138">
        <f t="shared" ref="E31:Q31" si="11">E27-E29</f>
        <v>0</v>
      </c>
      <c r="F31" s="138" t="e">
        <f t="shared" si="11"/>
        <v>#REF!</v>
      </c>
      <c r="G31" s="138" t="e">
        <f t="shared" si="11"/>
        <v>#REF!</v>
      </c>
      <c r="H31" s="138">
        <f t="shared" si="11"/>
        <v>0</v>
      </c>
      <c r="I31" s="138">
        <f t="shared" si="11"/>
        <v>0</v>
      </c>
      <c r="J31" s="138">
        <f t="shared" si="11"/>
        <v>0</v>
      </c>
      <c r="K31" s="138">
        <f t="shared" si="11"/>
        <v>0</v>
      </c>
      <c r="L31" s="138">
        <f t="shared" si="11"/>
        <v>0</v>
      </c>
      <c r="M31" s="138">
        <f t="shared" si="11"/>
        <v>0</v>
      </c>
      <c r="N31" s="258">
        <f t="shared" si="11"/>
        <v>-7740000</v>
      </c>
      <c r="O31" s="258">
        <f t="shared" si="11"/>
        <v>-7740000</v>
      </c>
      <c r="P31" s="257">
        <f t="shared" si="11"/>
        <v>410000</v>
      </c>
      <c r="Q31" s="258">
        <f t="shared" si="11"/>
        <v>410000</v>
      </c>
      <c r="R31" s="258">
        <f>'Base Allocation Coin Calculatio'!$D$25</f>
        <v>8556999.9999999963</v>
      </c>
      <c r="S31" s="165">
        <f>(Q31-R31)/R31</f>
        <v>-0.95208601145261185</v>
      </c>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9"/>
      <c r="F33" s="9"/>
      <c r="G33" s="9"/>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23" workbookViewId="0">
      <selection activeCell="B31" sqref="B31:B32"/>
    </sheetView>
  </sheetViews>
  <sheetFormatPr defaultColWidth="11.25" defaultRowHeight="15" customHeight="1" x14ac:dyDescent="0.25"/>
  <cols>
    <col min="1" max="1" width="11.125" customWidth="1"/>
    <col min="2" max="2" width="9.625" customWidth="1"/>
    <col min="3" max="3" width="10.875" customWidth="1"/>
    <col min="4" max="4" width="47.625" customWidth="1"/>
    <col min="5" max="5" width="17.5" customWidth="1"/>
    <col min="6" max="6" width="12.625" customWidth="1"/>
    <col min="7" max="7" width="7.875" customWidth="1"/>
    <col min="8" max="8" width="15" hidden="1" customWidth="1"/>
    <col min="9" max="10" width="10.875" hidden="1" customWidth="1"/>
    <col min="11" max="11" width="15.125" hidden="1" customWidth="1"/>
    <col min="12" max="12" width="15.625" customWidth="1"/>
    <col min="13" max="14" width="11.125" customWidth="1"/>
    <col min="15" max="26" width="15.125" customWidth="1"/>
  </cols>
  <sheetData>
    <row r="1" spans="1:26" ht="18.75" customHeight="1" x14ac:dyDescent="0.3">
      <c r="A1" s="168" t="s">
        <v>129</v>
      </c>
      <c r="B1" s="2"/>
      <c r="C1" s="2"/>
      <c r="D1" s="2"/>
      <c r="E1" s="2"/>
      <c r="F1" s="2"/>
      <c r="G1" s="2"/>
      <c r="H1" s="2"/>
      <c r="I1" s="2"/>
      <c r="J1" s="2"/>
      <c r="K1" s="2"/>
      <c r="L1" s="2"/>
      <c r="M1" s="2"/>
      <c r="N1" s="2"/>
      <c r="O1" s="2"/>
      <c r="P1" s="2"/>
      <c r="Q1" s="2"/>
      <c r="R1" s="2"/>
      <c r="S1" s="2"/>
      <c r="T1" s="2"/>
      <c r="U1" s="2"/>
      <c r="V1" s="2"/>
      <c r="W1" s="2"/>
      <c r="X1" s="2"/>
      <c r="Y1" s="2"/>
      <c r="Z1" s="2"/>
    </row>
    <row r="2" spans="1:26" ht="18.75" customHeight="1" x14ac:dyDescent="0.3">
      <c r="A2" s="1"/>
      <c r="B2" s="168"/>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t="s">
        <v>1</v>
      </c>
      <c r="E3" s="2" t="s">
        <v>117</v>
      </c>
      <c r="F3" s="2"/>
      <c r="G3" s="2"/>
      <c r="H3" s="2" t="s">
        <v>118</v>
      </c>
      <c r="I3" s="2"/>
      <c r="J3" s="2"/>
      <c r="K3" s="2"/>
      <c r="L3" s="2"/>
      <c r="M3" s="2"/>
      <c r="N3" s="2"/>
      <c r="O3" s="2"/>
      <c r="P3" s="2"/>
      <c r="Q3" s="2"/>
      <c r="R3" s="2"/>
      <c r="S3" s="2"/>
      <c r="T3" s="2"/>
      <c r="U3" s="2"/>
      <c r="V3" s="2"/>
      <c r="W3" s="2"/>
      <c r="X3" s="2"/>
      <c r="Y3" s="2"/>
      <c r="Z3" s="2"/>
    </row>
    <row r="4" spans="1:26" ht="54" customHeight="1" thickBot="1" x14ac:dyDescent="0.3">
      <c r="A4" s="5" t="s">
        <v>119</v>
      </c>
      <c r="B4" s="6" t="s">
        <v>6</v>
      </c>
      <c r="C4" s="5" t="s">
        <v>91</v>
      </c>
      <c r="D4" s="5" t="s">
        <v>8</v>
      </c>
      <c r="E4" s="14" t="s">
        <v>120</v>
      </c>
      <c r="F4" s="14" t="s">
        <v>121</v>
      </c>
      <c r="G4" s="23"/>
      <c r="H4" s="234" t="s">
        <v>65</v>
      </c>
      <c r="I4" s="14" t="s">
        <v>66</v>
      </c>
      <c r="J4" s="14" t="s">
        <v>67</v>
      </c>
      <c r="K4" s="2"/>
      <c r="L4" s="2"/>
      <c r="M4" s="2"/>
      <c r="N4" s="2"/>
      <c r="O4" s="2"/>
      <c r="P4" s="2"/>
      <c r="Q4" s="2"/>
      <c r="R4" s="2"/>
      <c r="S4" s="2"/>
      <c r="T4" s="2"/>
      <c r="U4" s="2"/>
      <c r="V4" s="2"/>
      <c r="W4" s="2"/>
      <c r="X4" s="2"/>
      <c r="Y4" s="2"/>
      <c r="Z4" s="2"/>
    </row>
    <row r="5" spans="1:26" ht="15.75" customHeight="1" x14ac:dyDescent="0.25">
      <c r="A5" s="350">
        <f>SUM(E5:E15)/E26</f>
        <v>0.71705214501969572</v>
      </c>
      <c r="B5" s="362" t="s">
        <v>21</v>
      </c>
      <c r="C5" s="319">
        <v>2</v>
      </c>
      <c r="D5" s="320" t="s">
        <v>26</v>
      </c>
      <c r="E5" s="321">
        <f>MROUND('WAIVER Allocation - increase'!Q5*'FY18 Allocations'!H5,5000)-40538</f>
        <v>1899462</v>
      </c>
      <c r="F5" s="322">
        <f t="shared" ref="F5:F25" si="0">ROUND(E5/$E$26,4)</f>
        <v>0.2429</v>
      </c>
      <c r="G5" s="30"/>
      <c r="H5" s="89">
        <f>'FY18 Allocations'!E5</f>
        <v>1942205.4399999999</v>
      </c>
      <c r="I5" s="89">
        <f t="shared" ref="I5:I8" si="1">E5-H5</f>
        <v>-42743.439999999944</v>
      </c>
      <c r="J5" s="27">
        <f>I5/H5</f>
        <v>-2.2007682153335924E-2</v>
      </c>
      <c r="K5" s="2"/>
      <c r="L5" s="2"/>
      <c r="M5" s="2"/>
      <c r="N5" s="2"/>
      <c r="O5" s="2"/>
      <c r="P5" s="2"/>
      <c r="Q5" s="2"/>
      <c r="R5" s="2"/>
      <c r="S5" s="2"/>
      <c r="T5" s="2"/>
      <c r="U5" s="2"/>
      <c r="V5" s="2"/>
      <c r="W5" s="2"/>
      <c r="X5" s="2"/>
      <c r="Y5" s="2"/>
      <c r="Z5" s="2"/>
    </row>
    <row r="6" spans="1:26" ht="15.75" customHeight="1" x14ac:dyDescent="0.25">
      <c r="A6" s="342"/>
      <c r="B6" s="342"/>
      <c r="C6" s="34">
        <v>14</v>
      </c>
      <c r="D6" s="39" t="s">
        <v>27</v>
      </c>
      <c r="E6" s="175">
        <f>'WAIVER Allocation - increase'!Q6</f>
        <v>0</v>
      </c>
      <c r="F6" s="37">
        <f t="shared" si="0"/>
        <v>0</v>
      </c>
      <c r="G6" s="30"/>
      <c r="H6" s="150">
        <v>0</v>
      </c>
      <c r="I6" s="89">
        <f t="shared" si="1"/>
        <v>0</v>
      </c>
      <c r="J6" s="37">
        <v>0</v>
      </c>
      <c r="K6" s="2"/>
      <c r="L6" s="2"/>
      <c r="M6" s="2"/>
      <c r="N6" s="2"/>
      <c r="O6" s="2"/>
      <c r="P6" s="2"/>
      <c r="Q6" s="2"/>
      <c r="R6" s="2"/>
      <c r="S6" s="2"/>
      <c r="T6" s="2"/>
      <c r="U6" s="2"/>
      <c r="V6" s="2"/>
      <c r="W6" s="2"/>
      <c r="X6" s="2"/>
      <c r="Y6" s="2"/>
      <c r="Z6" s="2"/>
    </row>
    <row r="7" spans="1:26" ht="15.75" customHeight="1" x14ac:dyDescent="0.25">
      <c r="A7" s="342"/>
      <c r="B7" s="342"/>
      <c r="C7" s="181" t="s">
        <v>104</v>
      </c>
      <c r="D7" s="190" t="s">
        <v>28</v>
      </c>
      <c r="E7" s="103">
        <f>'WAIVER Allocation - increase'!Q7</f>
        <v>0</v>
      </c>
      <c r="F7" s="183">
        <f t="shared" si="0"/>
        <v>0</v>
      </c>
      <c r="G7" s="30"/>
      <c r="H7" s="150">
        <v>0</v>
      </c>
      <c r="I7" s="89">
        <f t="shared" si="1"/>
        <v>0</v>
      </c>
      <c r="J7" s="37">
        <v>0</v>
      </c>
      <c r="K7" s="2"/>
      <c r="L7" s="2"/>
      <c r="M7" s="2"/>
      <c r="N7" s="2"/>
      <c r="O7" s="2"/>
      <c r="P7" s="2"/>
      <c r="Q7" s="2"/>
      <c r="R7" s="2"/>
      <c r="S7" s="2"/>
      <c r="T7" s="2"/>
      <c r="U7" s="2"/>
      <c r="V7" s="2"/>
      <c r="W7" s="2"/>
      <c r="X7" s="2"/>
      <c r="Y7" s="2"/>
      <c r="Z7" s="2"/>
    </row>
    <row r="8" spans="1:26" ht="15.75" customHeight="1" x14ac:dyDescent="0.25">
      <c r="A8" s="342"/>
      <c r="B8" s="342"/>
      <c r="C8" s="34">
        <v>17</v>
      </c>
      <c r="D8" s="39" t="s">
        <v>29</v>
      </c>
      <c r="E8" s="175">
        <f>'WAIVER Allocation - increase'!Q8</f>
        <v>0</v>
      </c>
      <c r="F8" s="37">
        <f t="shared" si="0"/>
        <v>0</v>
      </c>
      <c r="G8" s="30"/>
      <c r="H8" s="167">
        <f>'FY18 Allocations'!E8</f>
        <v>0</v>
      </c>
      <c r="I8" s="89">
        <f t="shared" si="1"/>
        <v>0</v>
      </c>
      <c r="J8" s="37" t="e">
        <f>I8/H8</f>
        <v>#DIV/0!</v>
      </c>
      <c r="K8" s="2"/>
      <c r="L8" s="2"/>
      <c r="M8" s="2"/>
      <c r="N8" s="2"/>
      <c r="O8" s="2"/>
      <c r="P8" s="2"/>
      <c r="Q8" s="2"/>
      <c r="R8" s="2"/>
      <c r="S8" s="2"/>
      <c r="T8" s="2"/>
      <c r="U8" s="2"/>
      <c r="V8" s="2"/>
      <c r="W8" s="2"/>
      <c r="X8" s="2"/>
      <c r="Y8" s="2"/>
      <c r="Z8" s="2"/>
    </row>
    <row r="9" spans="1:26" ht="15.75" customHeight="1" x14ac:dyDescent="0.25">
      <c r="A9" s="342"/>
      <c r="B9" s="342"/>
      <c r="C9" s="41">
        <v>1</v>
      </c>
      <c r="D9" s="43" t="s">
        <v>30</v>
      </c>
      <c r="E9" s="175">
        <f>MROUND('WAIVER Allocation - increase'!Q9*'FY18 Allocations'!H9,5000)</f>
        <v>1345000</v>
      </c>
      <c r="F9" s="237">
        <f t="shared" si="0"/>
        <v>0.17199999999999999</v>
      </c>
      <c r="G9" s="30"/>
      <c r="H9" s="167"/>
      <c r="I9" s="89"/>
      <c r="J9" s="37"/>
      <c r="K9" s="2"/>
      <c r="L9" s="2"/>
      <c r="M9" s="2"/>
      <c r="N9" s="2"/>
      <c r="O9" s="2"/>
      <c r="P9" s="2"/>
      <c r="Q9" s="2"/>
      <c r="R9" s="2"/>
      <c r="S9" s="2"/>
      <c r="T9" s="2"/>
      <c r="U9" s="2"/>
      <c r="V9" s="2"/>
      <c r="W9" s="2"/>
      <c r="X9" s="2"/>
      <c r="Y9" s="2"/>
      <c r="Z9" s="2"/>
    </row>
    <row r="10" spans="1:26" ht="15.75" customHeight="1" x14ac:dyDescent="0.25">
      <c r="A10" s="342"/>
      <c r="B10" s="342"/>
      <c r="C10" s="34">
        <v>10</v>
      </c>
      <c r="D10" s="39" t="s">
        <v>32</v>
      </c>
      <c r="E10" s="175">
        <f>'WAIVER Allocation - increase'!Q10</f>
        <v>5000</v>
      </c>
      <c r="F10" s="37">
        <f t="shared" si="0"/>
        <v>5.9999999999999995E-4</v>
      </c>
      <c r="G10" s="30"/>
      <c r="H10" s="167">
        <f>'FY18 Allocations'!E10</f>
        <v>4468.26</v>
      </c>
      <c r="I10" s="89">
        <f t="shared" ref="I10:I12" si="2">E10-H10</f>
        <v>531.73999999999978</v>
      </c>
      <c r="J10" s="37">
        <f t="shared" ref="J10:J12" si="3">I10/H10</f>
        <v>0.1190038180410271</v>
      </c>
      <c r="K10" s="2"/>
      <c r="L10" s="2"/>
      <c r="M10" s="2"/>
      <c r="N10" s="2"/>
      <c r="O10" s="2"/>
      <c r="P10" s="2"/>
      <c r="Q10" s="2"/>
      <c r="R10" s="2"/>
      <c r="S10" s="2"/>
      <c r="T10" s="2"/>
      <c r="U10" s="2"/>
      <c r="V10" s="2"/>
      <c r="W10" s="2"/>
      <c r="X10" s="2"/>
      <c r="Y10" s="2"/>
      <c r="Z10" s="2"/>
    </row>
    <row r="11" spans="1:26" ht="15.75" customHeight="1" x14ac:dyDescent="0.25">
      <c r="A11" s="342"/>
      <c r="B11" s="342"/>
      <c r="C11" s="34">
        <v>16</v>
      </c>
      <c r="D11" s="39" t="s">
        <v>33</v>
      </c>
      <c r="E11" s="175">
        <f>'WAIVER Allocation - increase'!Q11</f>
        <v>20000</v>
      </c>
      <c r="F11" s="37">
        <f t="shared" si="0"/>
        <v>2.5999999999999999E-3</v>
      </c>
      <c r="G11" s="30"/>
      <c r="H11" s="167">
        <f>'FY18 Allocations'!E11</f>
        <v>18617.77</v>
      </c>
      <c r="I11" s="89">
        <f t="shared" si="2"/>
        <v>1382.2299999999996</v>
      </c>
      <c r="J11" s="37">
        <f t="shared" si="3"/>
        <v>7.4242511321173238E-2</v>
      </c>
      <c r="K11" s="2"/>
      <c r="L11" s="2"/>
      <c r="M11" s="2"/>
      <c r="N11" s="2"/>
      <c r="O11" s="2"/>
      <c r="P11" s="2"/>
      <c r="Q11" s="2"/>
      <c r="R11" s="2"/>
      <c r="S11" s="2"/>
      <c r="T11" s="2"/>
      <c r="U11" s="2"/>
      <c r="V11" s="2"/>
      <c r="W11" s="2"/>
      <c r="X11" s="2"/>
      <c r="Y11" s="2"/>
      <c r="Z11" s="2"/>
    </row>
    <row r="12" spans="1:26" ht="15.75" customHeight="1" x14ac:dyDescent="0.25">
      <c r="A12" s="342"/>
      <c r="B12" s="342"/>
      <c r="C12" s="34">
        <v>20</v>
      </c>
      <c r="D12" s="39" t="s">
        <v>106</v>
      </c>
      <c r="E12" s="175">
        <f>'WAIVER Allocation - increase'!Q12</f>
        <v>0</v>
      </c>
      <c r="F12" s="37">
        <f t="shared" si="0"/>
        <v>0</v>
      </c>
      <c r="G12" s="30"/>
      <c r="H12" s="167">
        <f>'FY18 Allocations'!E12</f>
        <v>0</v>
      </c>
      <c r="I12" s="89">
        <f t="shared" si="2"/>
        <v>0</v>
      </c>
      <c r="J12" s="37" t="e">
        <f t="shared" si="3"/>
        <v>#DIV/0!</v>
      </c>
      <c r="K12" s="2"/>
      <c r="L12" s="2"/>
      <c r="M12" s="2"/>
      <c r="N12" s="2"/>
      <c r="O12" s="2"/>
      <c r="P12" s="2"/>
      <c r="Q12" s="2"/>
      <c r="R12" s="2"/>
      <c r="S12" s="2"/>
      <c r="T12" s="2"/>
      <c r="U12" s="2"/>
      <c r="V12" s="2"/>
      <c r="W12" s="2"/>
      <c r="X12" s="2"/>
      <c r="Y12" s="2"/>
      <c r="Z12" s="2"/>
    </row>
    <row r="13" spans="1:26" ht="15.75" customHeight="1" x14ac:dyDescent="0.25">
      <c r="A13" s="342"/>
      <c r="B13" s="342"/>
      <c r="C13" s="34">
        <v>8</v>
      </c>
      <c r="D13" s="39" t="s">
        <v>35</v>
      </c>
      <c r="E13" s="175">
        <f>'WAIVER Allocation - increase'!Q13</f>
        <v>187500</v>
      </c>
      <c r="F13" s="37">
        <f t="shared" si="0"/>
        <v>2.4E-2</v>
      </c>
      <c r="G13" s="30"/>
      <c r="H13" s="167"/>
      <c r="I13" s="89"/>
      <c r="J13" s="37"/>
      <c r="K13" s="2"/>
      <c r="L13" s="2"/>
      <c r="M13" s="2"/>
      <c r="N13" s="2"/>
      <c r="O13" s="2"/>
      <c r="P13" s="2"/>
      <c r="Q13" s="2"/>
      <c r="R13" s="2"/>
      <c r="S13" s="2"/>
      <c r="T13" s="2"/>
      <c r="U13" s="2"/>
      <c r="V13" s="2"/>
      <c r="W13" s="2"/>
      <c r="X13" s="2"/>
      <c r="Y13" s="2"/>
      <c r="Z13" s="2"/>
    </row>
    <row r="14" spans="1:26" ht="15.75" customHeight="1" x14ac:dyDescent="0.25">
      <c r="A14" s="342"/>
      <c r="B14" s="342"/>
      <c r="C14" s="198">
        <v>12</v>
      </c>
      <c r="D14" s="39" t="s">
        <v>36</v>
      </c>
      <c r="E14" s="175">
        <f>'WAIVER Allocation - increase'!Q14</f>
        <v>250000</v>
      </c>
      <c r="F14" s="37">
        <f t="shared" si="0"/>
        <v>3.2000000000000001E-2</v>
      </c>
      <c r="G14" s="30"/>
      <c r="H14" s="167">
        <f>'FY18 Allocations'!E13</f>
        <v>190645.93</v>
      </c>
      <c r="I14" s="89">
        <f>E13-H14</f>
        <v>-3145.929999999993</v>
      </c>
      <c r="J14" s="37">
        <f>I14/H14</f>
        <v>-1.650142754162123E-2</v>
      </c>
      <c r="K14" s="2"/>
      <c r="L14" s="2"/>
      <c r="M14" s="2"/>
      <c r="N14" s="239"/>
      <c r="O14" s="2"/>
      <c r="P14" s="2"/>
      <c r="Q14" s="2"/>
      <c r="R14" s="2"/>
      <c r="S14" s="2"/>
      <c r="T14" s="2"/>
      <c r="U14" s="2"/>
      <c r="V14" s="2"/>
      <c r="W14" s="2"/>
      <c r="X14" s="2"/>
      <c r="Y14" s="2"/>
      <c r="Z14" s="2"/>
    </row>
    <row r="15" spans="1:26" ht="16.5" customHeight="1" thickBot="1" x14ac:dyDescent="0.3">
      <c r="A15" s="343"/>
      <c r="B15" s="343"/>
      <c r="C15" s="137">
        <v>4</v>
      </c>
      <c r="D15" s="7" t="s">
        <v>37</v>
      </c>
      <c r="E15" s="178">
        <f>'WAIVER Allocation - increase'!Q15</f>
        <v>1900000</v>
      </c>
      <c r="F15" s="141">
        <f t="shared" si="0"/>
        <v>0.24299999999999999</v>
      </c>
      <c r="G15" s="138"/>
      <c r="H15" s="155">
        <v>0</v>
      </c>
      <c r="I15" s="155" t="e">
        <f>#REF!-H15</f>
        <v>#REF!</v>
      </c>
      <c r="J15" s="240" t="s">
        <v>128</v>
      </c>
      <c r="K15" s="2"/>
      <c r="L15" s="2"/>
      <c r="M15" s="2"/>
      <c r="N15" s="2"/>
      <c r="O15" s="2"/>
      <c r="P15" s="2"/>
      <c r="Q15" s="2"/>
      <c r="R15" s="2"/>
      <c r="S15" s="2"/>
      <c r="T15" s="2"/>
      <c r="U15" s="2"/>
      <c r="V15" s="2"/>
      <c r="W15" s="2"/>
      <c r="X15" s="2"/>
      <c r="Y15" s="2"/>
      <c r="Z15" s="2"/>
    </row>
    <row r="16" spans="1:26" ht="15.75" customHeight="1" x14ac:dyDescent="0.25">
      <c r="A16" s="350">
        <f>SUM(E16:E25)/E26</f>
        <v>0.28294785498030428</v>
      </c>
      <c r="B16" s="362" t="s">
        <v>39</v>
      </c>
      <c r="C16" s="24">
        <v>11</v>
      </c>
      <c r="D16" s="131" t="s">
        <v>40</v>
      </c>
      <c r="E16" s="200">
        <f>'WAIVER Allocation - increase'!Q16</f>
        <v>155000</v>
      </c>
      <c r="F16" s="27">
        <f t="shared" si="0"/>
        <v>1.9800000000000002E-2</v>
      </c>
      <c r="G16" s="30"/>
      <c r="H16" s="89">
        <f>'FY18 Allocations'!E16</f>
        <v>116174.86</v>
      </c>
      <c r="I16" s="89">
        <f t="shared" ref="I16:I24" si="4">E16-H16</f>
        <v>38825.14</v>
      </c>
      <c r="J16" s="27">
        <f t="shared" ref="J16:J22" si="5">I16/H16</f>
        <v>0.33419571153345912</v>
      </c>
      <c r="K16" s="2"/>
      <c r="L16" s="2"/>
      <c r="M16" s="2"/>
      <c r="N16" s="2"/>
      <c r="O16" s="2"/>
      <c r="P16" s="2"/>
      <c r="Q16" s="2"/>
      <c r="R16" s="2"/>
      <c r="S16" s="2"/>
      <c r="T16" s="2"/>
      <c r="U16" s="2"/>
      <c r="V16" s="2"/>
      <c r="W16" s="2"/>
      <c r="X16" s="2"/>
      <c r="Y16" s="2"/>
      <c r="Z16" s="2"/>
    </row>
    <row r="17" spans="1:26" ht="15.75" customHeight="1" x14ac:dyDescent="0.25">
      <c r="A17" s="342"/>
      <c r="B17" s="342"/>
      <c r="C17" s="24">
        <v>15</v>
      </c>
      <c r="D17" s="39" t="s">
        <v>41</v>
      </c>
      <c r="E17" s="175">
        <f>'WAIVER Allocation - increase'!Q17</f>
        <v>0</v>
      </c>
      <c r="F17" s="37">
        <f t="shared" si="0"/>
        <v>0</v>
      </c>
      <c r="G17" s="30"/>
      <c r="H17" s="167">
        <f>'FY18 Allocations'!E17</f>
        <v>0</v>
      </c>
      <c r="I17" s="89">
        <f t="shared" si="4"/>
        <v>0</v>
      </c>
      <c r="J17" s="37" t="e">
        <f t="shared" si="5"/>
        <v>#DIV/0!</v>
      </c>
      <c r="K17" s="2"/>
      <c r="L17" s="2"/>
      <c r="M17" s="2"/>
      <c r="N17" s="2"/>
      <c r="O17" s="2"/>
      <c r="P17" s="2"/>
      <c r="Q17" s="2"/>
      <c r="R17" s="2"/>
      <c r="S17" s="2"/>
      <c r="T17" s="2"/>
      <c r="U17" s="2"/>
      <c r="V17" s="2"/>
      <c r="W17" s="2"/>
      <c r="X17" s="2"/>
      <c r="Y17" s="2"/>
      <c r="Z17" s="2"/>
    </row>
    <row r="18" spans="1:26" ht="15.75" customHeight="1" x14ac:dyDescent="0.25">
      <c r="A18" s="342"/>
      <c r="B18" s="342"/>
      <c r="C18" s="24">
        <v>5</v>
      </c>
      <c r="D18" s="39" t="s">
        <v>42</v>
      </c>
      <c r="E18" s="175">
        <f>'WAIVER Allocation - increase'!Q18</f>
        <v>590000</v>
      </c>
      <c r="F18" s="37">
        <f t="shared" si="0"/>
        <v>7.5499999999999998E-2</v>
      </c>
      <c r="G18" s="30"/>
      <c r="H18" s="167">
        <f>'FY18 Allocations'!E18</f>
        <v>460975.9</v>
      </c>
      <c r="I18" s="89">
        <f t="shared" si="4"/>
        <v>129024.09999999998</v>
      </c>
      <c r="J18" s="37">
        <f t="shared" si="5"/>
        <v>0.27989337403538878</v>
      </c>
      <c r="K18" s="2"/>
      <c r="L18" s="2"/>
      <c r="M18" s="2"/>
      <c r="N18" s="2"/>
      <c r="O18" s="2"/>
      <c r="P18" s="2"/>
      <c r="Q18" s="2"/>
      <c r="R18" s="2"/>
      <c r="S18" s="2"/>
      <c r="T18" s="2"/>
      <c r="U18" s="2"/>
      <c r="V18" s="2"/>
      <c r="W18" s="2"/>
      <c r="X18" s="2"/>
      <c r="Y18" s="2"/>
      <c r="Z18" s="2"/>
    </row>
    <row r="19" spans="1:26" ht="15.75" customHeight="1" x14ac:dyDescent="0.25">
      <c r="A19" s="342"/>
      <c r="B19" s="342"/>
      <c r="C19" s="24">
        <v>6</v>
      </c>
      <c r="D19" s="39" t="s">
        <v>43</v>
      </c>
      <c r="E19" s="175">
        <f>'WAIVER Allocation - increase'!Q19</f>
        <v>392500</v>
      </c>
      <c r="F19" s="37">
        <f t="shared" si="0"/>
        <v>5.0200000000000002E-2</v>
      </c>
      <c r="G19" s="30"/>
      <c r="H19" s="167">
        <f>'FY18 Allocations'!E19</f>
        <v>330651.53999999998</v>
      </c>
      <c r="I19" s="89">
        <f t="shared" si="4"/>
        <v>61848.460000000021</v>
      </c>
      <c r="J19" s="37">
        <f t="shared" si="5"/>
        <v>0.18705027050531814</v>
      </c>
      <c r="K19" s="2"/>
      <c r="L19" s="2"/>
      <c r="M19" s="239"/>
      <c r="N19" s="2"/>
      <c r="O19" s="2"/>
      <c r="P19" s="2"/>
      <c r="Q19" s="2"/>
      <c r="R19" s="2"/>
      <c r="S19" s="2"/>
      <c r="T19" s="2"/>
      <c r="U19" s="2"/>
      <c r="V19" s="2"/>
      <c r="W19" s="2"/>
      <c r="X19" s="2"/>
      <c r="Y19" s="2"/>
      <c r="Z19" s="2"/>
    </row>
    <row r="20" spans="1:26" ht="15.75" customHeight="1" x14ac:dyDescent="0.25">
      <c r="A20" s="342"/>
      <c r="B20" s="342"/>
      <c r="C20" s="24">
        <v>9</v>
      </c>
      <c r="D20" s="39" t="s">
        <v>44</v>
      </c>
      <c r="E20" s="175">
        <f>'WAIVER Allocation - increase'!Q20</f>
        <v>80000</v>
      </c>
      <c r="F20" s="37">
        <f t="shared" si="0"/>
        <v>1.0200000000000001E-2</v>
      </c>
      <c r="G20" s="30"/>
      <c r="H20" s="167">
        <f>'FY18 Allocations'!E20</f>
        <v>78939.33</v>
      </c>
      <c r="I20" s="89">
        <f t="shared" si="4"/>
        <v>1060.6699999999983</v>
      </c>
      <c r="J20" s="37">
        <f t="shared" si="5"/>
        <v>1.3436521439946326E-2</v>
      </c>
      <c r="K20" s="2"/>
      <c r="L20" s="2"/>
      <c r="M20" s="239"/>
      <c r="N20" s="2"/>
      <c r="O20" s="2"/>
      <c r="P20" s="2"/>
      <c r="Q20" s="2"/>
      <c r="R20" s="2"/>
      <c r="S20" s="2"/>
      <c r="T20" s="2"/>
      <c r="U20" s="2"/>
      <c r="V20" s="2"/>
      <c r="W20" s="2"/>
      <c r="X20" s="2"/>
      <c r="Y20" s="2"/>
      <c r="Z20" s="2"/>
    </row>
    <row r="21" spans="1:26" ht="15.75" customHeight="1" x14ac:dyDescent="0.25">
      <c r="A21" s="342"/>
      <c r="B21" s="342"/>
      <c r="C21" s="24">
        <v>18</v>
      </c>
      <c r="D21" s="39" t="s">
        <v>45</v>
      </c>
      <c r="E21" s="175">
        <f>'WAIVER Allocation - increase'!Q21</f>
        <v>0</v>
      </c>
      <c r="F21" s="37">
        <f t="shared" si="0"/>
        <v>0</v>
      </c>
      <c r="G21" s="30"/>
      <c r="H21" s="167">
        <f>'FY18 Allocations'!E21</f>
        <v>0</v>
      </c>
      <c r="I21" s="89">
        <f t="shared" si="4"/>
        <v>0</v>
      </c>
      <c r="J21" s="37" t="e">
        <f t="shared" si="5"/>
        <v>#DIV/0!</v>
      </c>
      <c r="K21" s="2"/>
      <c r="L21" s="2"/>
      <c r="M21" s="2"/>
      <c r="N21" s="2"/>
      <c r="O21" s="2"/>
      <c r="P21" s="2"/>
      <c r="Q21" s="2"/>
      <c r="R21" s="2"/>
      <c r="S21" s="2"/>
      <c r="T21" s="2"/>
      <c r="U21" s="2"/>
      <c r="V21" s="2"/>
      <c r="W21" s="2"/>
      <c r="X21" s="2"/>
      <c r="Y21" s="2"/>
      <c r="Z21" s="2"/>
    </row>
    <row r="22" spans="1:26" ht="15.75" customHeight="1" x14ac:dyDescent="0.25">
      <c r="A22" s="342"/>
      <c r="B22" s="342"/>
      <c r="C22" s="34">
        <v>3</v>
      </c>
      <c r="D22" s="39" t="s">
        <v>46</v>
      </c>
      <c r="E22" s="175">
        <f>'WAIVER Allocation - increase'!Q22</f>
        <v>810000</v>
      </c>
      <c r="F22" s="37">
        <f t="shared" si="0"/>
        <v>0.1036</v>
      </c>
      <c r="G22" s="30"/>
      <c r="H22" s="167">
        <f>'FY18 Allocations'!E22</f>
        <v>689602.08</v>
      </c>
      <c r="I22" s="89">
        <f t="shared" si="4"/>
        <v>120397.92000000004</v>
      </c>
      <c r="J22" s="37">
        <f t="shared" si="5"/>
        <v>0.17459042466925281</v>
      </c>
      <c r="K22" s="2"/>
      <c r="L22" s="2"/>
      <c r="M22" s="2"/>
      <c r="N22" s="2"/>
      <c r="O22" s="2"/>
      <c r="P22" s="2"/>
      <c r="Q22" s="2"/>
      <c r="R22" s="2"/>
      <c r="S22" s="2"/>
      <c r="T22" s="2"/>
      <c r="U22" s="2"/>
      <c r="V22" s="2"/>
      <c r="W22" s="2"/>
      <c r="X22" s="2"/>
      <c r="Y22" s="2"/>
      <c r="Z22" s="2"/>
    </row>
    <row r="23" spans="1:26" ht="15.75" customHeight="1" x14ac:dyDescent="0.25">
      <c r="A23" s="342"/>
      <c r="B23" s="342"/>
      <c r="C23" s="34">
        <v>13</v>
      </c>
      <c r="D23" s="39" t="s">
        <v>47</v>
      </c>
      <c r="E23" s="175">
        <f>'WAIVER Allocation - increase'!Q23</f>
        <v>30000</v>
      </c>
      <c r="F23" s="37">
        <f t="shared" si="0"/>
        <v>3.8E-3</v>
      </c>
      <c r="G23" s="138"/>
      <c r="H23" s="167">
        <v>0</v>
      </c>
      <c r="I23" s="89">
        <f t="shared" si="4"/>
        <v>30000</v>
      </c>
      <c r="J23" s="241" t="s">
        <v>128</v>
      </c>
      <c r="K23" s="2"/>
      <c r="L23" s="2"/>
      <c r="M23" s="2"/>
      <c r="N23" s="2"/>
      <c r="O23" s="2"/>
      <c r="P23" s="2"/>
      <c r="Q23" s="2"/>
      <c r="R23" s="2"/>
      <c r="S23" s="2"/>
      <c r="T23" s="2"/>
      <c r="U23" s="2"/>
      <c r="V23" s="2"/>
      <c r="W23" s="2"/>
      <c r="X23" s="2"/>
      <c r="Y23" s="2"/>
      <c r="Z23" s="2"/>
    </row>
    <row r="24" spans="1:26" ht="15.75" customHeight="1" x14ac:dyDescent="0.25">
      <c r="A24" s="342"/>
      <c r="B24" s="342"/>
      <c r="C24" s="206">
        <v>7</v>
      </c>
      <c r="D24" s="43" t="s">
        <v>48</v>
      </c>
      <c r="E24" s="175">
        <f>'WAIVER Allocation - increase'!Q24</f>
        <v>155000</v>
      </c>
      <c r="F24" s="237">
        <f t="shared" si="0"/>
        <v>1.9800000000000002E-2</v>
      </c>
      <c r="G24" s="138"/>
      <c r="H24" s="167">
        <v>0</v>
      </c>
      <c r="I24" s="89">
        <f t="shared" si="4"/>
        <v>155000</v>
      </c>
      <c r="J24" s="241" t="s">
        <v>128</v>
      </c>
      <c r="K24" s="2"/>
      <c r="L24" s="2"/>
      <c r="M24" s="2"/>
      <c r="N24" s="2"/>
      <c r="O24" s="2"/>
      <c r="P24" s="2"/>
      <c r="Q24" s="2"/>
      <c r="R24" s="2"/>
      <c r="S24" s="2"/>
      <c r="T24" s="2"/>
      <c r="U24" s="2"/>
      <c r="V24" s="2"/>
      <c r="W24" s="2"/>
      <c r="X24" s="2"/>
      <c r="Y24" s="2"/>
      <c r="Z24" s="2"/>
    </row>
    <row r="25" spans="1:26" ht="15.75" customHeight="1" thickBot="1" x14ac:dyDescent="0.3">
      <c r="A25" s="342"/>
      <c r="B25" s="342"/>
      <c r="C25" s="137">
        <v>19</v>
      </c>
      <c r="D25" s="139" t="s">
        <v>49</v>
      </c>
      <c r="E25" s="178">
        <f>'WAIVER Allocation - increase'!Q25</f>
        <v>0</v>
      </c>
      <c r="F25" s="141">
        <f t="shared" si="0"/>
        <v>0</v>
      </c>
      <c r="G25" s="138"/>
      <c r="H25" s="108"/>
      <c r="I25" s="151"/>
      <c r="J25" s="242"/>
      <c r="K25" s="2"/>
      <c r="L25" s="2"/>
      <c r="M25" s="2"/>
      <c r="N25" s="2"/>
      <c r="O25" s="2"/>
      <c r="P25" s="2"/>
      <c r="Q25" s="2"/>
      <c r="R25" s="2"/>
      <c r="S25" s="2"/>
      <c r="T25" s="2"/>
      <c r="U25" s="2"/>
      <c r="V25" s="2"/>
      <c r="W25" s="2"/>
      <c r="X25" s="2"/>
      <c r="Y25" s="2"/>
      <c r="Z25" s="2"/>
    </row>
    <row r="26" spans="1:26" ht="15.75" customHeight="1" x14ac:dyDescent="0.25">
      <c r="A26" s="243"/>
      <c r="B26" s="244"/>
      <c r="C26" s="330"/>
      <c r="D26" s="323" t="s">
        <v>130</v>
      </c>
      <c r="E26" s="324">
        <f t="shared" ref="E26:F26" si="6">SUM(E5:E25)</f>
        <v>7819462</v>
      </c>
      <c r="F26" s="325">
        <f t="shared" si="6"/>
        <v>1</v>
      </c>
      <c r="G26" s="2"/>
      <c r="H26" s="89">
        <f>SUM(H5:H25)</f>
        <v>3832281.11</v>
      </c>
      <c r="I26" s="89">
        <f>E26-H26</f>
        <v>3987180.89</v>
      </c>
      <c r="J26" s="27">
        <f>I26/H26</f>
        <v>1.0404197331964513</v>
      </c>
      <c r="K26" s="2"/>
      <c r="L26" s="2"/>
      <c r="M26" s="2"/>
      <c r="N26" s="239"/>
      <c r="O26" s="2"/>
      <c r="P26" s="2"/>
      <c r="Q26" s="2"/>
      <c r="R26" s="2"/>
      <c r="S26" s="2"/>
      <c r="T26" s="2"/>
      <c r="U26" s="2"/>
      <c r="V26" s="2"/>
      <c r="W26" s="2"/>
      <c r="X26" s="2"/>
      <c r="Y26" s="2"/>
      <c r="Z26" s="2"/>
    </row>
    <row r="27" spans="1:26" ht="15.75" customHeight="1" x14ac:dyDescent="0.25">
      <c r="A27" s="2"/>
      <c r="B27" s="2"/>
      <c r="C27" s="2"/>
      <c r="D27" s="2"/>
      <c r="E27" s="138"/>
      <c r="F27" s="138"/>
      <c r="G27" s="138"/>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138"/>
      <c r="H28" s="9"/>
      <c r="I28" s="166"/>
      <c r="J28" s="30"/>
      <c r="K28" s="2"/>
      <c r="L28" s="2"/>
      <c r="M28" s="2"/>
      <c r="N28" s="2"/>
      <c r="O28" s="2"/>
      <c r="P28" s="2"/>
      <c r="Q28" s="2"/>
      <c r="R28" s="2"/>
      <c r="S28" s="2"/>
      <c r="T28" s="2"/>
      <c r="U28" s="2"/>
      <c r="V28" s="2"/>
      <c r="W28" s="2"/>
      <c r="X28" s="2"/>
      <c r="Y28" s="2"/>
      <c r="Z28" s="2"/>
    </row>
    <row r="29" spans="1:26" ht="15.75" customHeight="1" x14ac:dyDescent="0.25">
      <c r="A29" s="2"/>
      <c r="B29" s="2"/>
      <c r="C29" s="2"/>
      <c r="D29" s="2" t="s">
        <v>70</v>
      </c>
      <c r="E29" s="2" t="str">
        <f t="shared" ref="E29:E30" si="7">E3</f>
        <v>FY19 SEMHAC Allocation</v>
      </c>
      <c r="F29" s="2"/>
      <c r="G29" s="2"/>
      <c r="H29" s="2" t="s">
        <v>131</v>
      </c>
      <c r="I29" s="2"/>
      <c r="J29" s="2"/>
      <c r="K29" s="2"/>
      <c r="L29" s="2"/>
      <c r="M29" s="2"/>
      <c r="N29" s="2"/>
      <c r="O29" s="2"/>
      <c r="P29" s="2"/>
      <c r="Q29" s="2"/>
      <c r="R29" s="2"/>
      <c r="S29" s="2"/>
      <c r="T29" s="2"/>
      <c r="U29" s="2"/>
      <c r="V29" s="2"/>
      <c r="W29" s="2"/>
      <c r="X29" s="2"/>
      <c r="Y29" s="2"/>
      <c r="Z29" s="2"/>
    </row>
    <row r="30" spans="1:26" ht="36.75" customHeight="1" thickBot="1" x14ac:dyDescent="0.3">
      <c r="A30" s="5" t="str">
        <f>A4</f>
        <v>FY19               % by type</v>
      </c>
      <c r="B30" s="6" t="s">
        <v>6</v>
      </c>
      <c r="C30" s="5" t="str">
        <f>C4</f>
        <v>FY19 Priority</v>
      </c>
      <c r="D30" s="5" t="s">
        <v>8</v>
      </c>
      <c r="E30" s="14" t="str">
        <f t="shared" si="7"/>
        <v>FY19                          Projected Allocation</v>
      </c>
      <c r="F30" s="14" t="s">
        <v>121</v>
      </c>
      <c r="G30" s="2"/>
      <c r="H30" s="234" t="s">
        <v>65</v>
      </c>
      <c r="I30" s="14" t="s">
        <v>66</v>
      </c>
      <c r="J30" s="14" t="s">
        <v>67</v>
      </c>
      <c r="K30" s="2"/>
      <c r="L30" s="2"/>
      <c r="M30" s="2"/>
      <c r="N30" s="2"/>
      <c r="O30" s="2"/>
      <c r="P30" s="2"/>
      <c r="Q30" s="2"/>
      <c r="R30" s="2"/>
      <c r="S30" s="2"/>
      <c r="T30" s="2"/>
      <c r="U30" s="2"/>
      <c r="V30" s="2"/>
      <c r="W30" s="2"/>
      <c r="X30" s="2"/>
      <c r="Y30" s="2"/>
      <c r="Z30" s="2"/>
    </row>
    <row r="31" spans="1:26" ht="15.75" customHeight="1" thickBot="1" x14ac:dyDescent="0.3">
      <c r="A31" s="341">
        <f>SUM(E31:E32)/E33</f>
        <v>1</v>
      </c>
      <c r="B31" s="344" t="s">
        <v>21</v>
      </c>
      <c r="C31" s="319">
        <v>2</v>
      </c>
      <c r="D31" s="326" t="s">
        <v>132</v>
      </c>
      <c r="E31" s="329">
        <f>MROUND('WAIVER Allocation - increase'!Q5*'FY18 Allocations'!H31,5000)+38308</f>
        <v>558308</v>
      </c>
      <c r="F31" s="328">
        <f>ROUND(E31/E33,4)</f>
        <v>0.75619999999999998</v>
      </c>
      <c r="G31" s="2"/>
      <c r="H31" s="167">
        <f>'FY18 Allocations'!E31</f>
        <v>519417.35</v>
      </c>
      <c r="I31" s="89">
        <f t="shared" ref="I31:I33" si="8">E31-H31</f>
        <v>38890.650000000023</v>
      </c>
      <c r="J31" s="208">
        <f t="shared" ref="J31:J33" si="9">I31/H31</f>
        <v>7.4873605974078508E-2</v>
      </c>
      <c r="K31" s="2"/>
      <c r="L31" s="2"/>
      <c r="M31" s="2"/>
      <c r="N31" s="2"/>
      <c r="O31" s="2"/>
      <c r="P31" s="2"/>
      <c r="Q31" s="2"/>
      <c r="R31" s="2"/>
      <c r="S31" s="2"/>
      <c r="T31" s="2"/>
      <c r="U31" s="2"/>
      <c r="V31" s="2"/>
      <c r="W31" s="2"/>
      <c r="X31" s="2"/>
      <c r="Y31" s="2"/>
      <c r="Z31" s="2"/>
    </row>
    <row r="32" spans="1:26" ht="16.5" customHeight="1" thickBot="1" x14ac:dyDescent="0.3">
      <c r="A32" s="343"/>
      <c r="B32" s="343"/>
      <c r="C32" s="73">
        <v>1</v>
      </c>
      <c r="D32" s="139" t="s">
        <v>133</v>
      </c>
      <c r="E32" s="178">
        <f>MROUND('WAIVER Allocation - increase'!Q9*'FY18 Allocations'!H32,5000)</f>
        <v>180000</v>
      </c>
      <c r="F32" s="141">
        <f>ROUND(E32/E33,4)</f>
        <v>0.24379999999999999</v>
      </c>
      <c r="G32" s="2"/>
      <c r="H32" s="247">
        <f>'FY18 Allocations'!E32</f>
        <v>183733.25</v>
      </c>
      <c r="I32" s="155">
        <f t="shared" si="8"/>
        <v>-3733.25</v>
      </c>
      <c r="J32" s="141">
        <f t="shared" si="9"/>
        <v>-2.0318858998031115E-2</v>
      </c>
      <c r="K32" s="2"/>
      <c r="L32" s="2"/>
      <c r="M32" s="2"/>
      <c r="N32" s="2"/>
      <c r="O32" s="2"/>
      <c r="P32" s="2"/>
      <c r="Q32" s="2"/>
      <c r="R32" s="2"/>
      <c r="S32" s="2"/>
      <c r="T32" s="2"/>
      <c r="U32" s="2"/>
      <c r="V32" s="2"/>
      <c r="W32" s="2"/>
      <c r="X32" s="2"/>
      <c r="Y32" s="2"/>
      <c r="Z32" s="2"/>
    </row>
    <row r="33" spans="1:26" ht="15.75" customHeight="1" x14ac:dyDescent="0.25">
      <c r="A33" s="129"/>
      <c r="B33" s="130"/>
      <c r="C33" s="131"/>
      <c r="D33" s="323" t="s">
        <v>134</v>
      </c>
      <c r="E33" s="324">
        <f t="shared" ref="E33:F33" si="10">SUM(E31:E32)</f>
        <v>738308</v>
      </c>
      <c r="F33" s="325">
        <f t="shared" si="10"/>
        <v>1</v>
      </c>
      <c r="G33" s="2"/>
      <c r="H33" s="89">
        <f>SUM(H31:H32)</f>
        <v>703150.6</v>
      </c>
      <c r="I33" s="89">
        <f t="shared" si="8"/>
        <v>35157.400000000023</v>
      </c>
      <c r="J33" s="248">
        <f t="shared" si="9"/>
        <v>4.9999815117842503E-2</v>
      </c>
      <c r="K33" s="2"/>
      <c r="L33" s="2"/>
      <c r="M33" s="2"/>
      <c r="N33" s="2"/>
      <c r="O33" s="2"/>
      <c r="P33" s="2"/>
      <c r="Q33" s="2"/>
      <c r="R33" s="2"/>
      <c r="S33" s="2"/>
      <c r="T33" s="2"/>
      <c r="U33" s="2"/>
      <c r="V33" s="2"/>
      <c r="W33" s="2"/>
      <c r="X33" s="2"/>
      <c r="Y33" s="2"/>
      <c r="Z33" s="2"/>
    </row>
    <row r="34" spans="1:26" ht="15.75" customHeight="1" x14ac:dyDescent="0.25">
      <c r="A34" s="2"/>
      <c r="B34" s="2"/>
      <c r="C34" s="2"/>
      <c r="D34" s="2"/>
      <c r="E34" s="138"/>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138"/>
      <c r="F35" s="2"/>
      <c r="G35" s="2"/>
      <c r="H35" s="2"/>
      <c r="I35" s="2"/>
      <c r="J35" s="2"/>
      <c r="K35" s="2"/>
      <c r="L35" s="2"/>
      <c r="M35" s="2"/>
      <c r="N35" s="2"/>
      <c r="O35" s="2"/>
      <c r="P35" s="2"/>
      <c r="Q35" s="2"/>
      <c r="R35" s="2"/>
      <c r="S35" s="2"/>
      <c r="T35" s="2"/>
      <c r="U35" s="2"/>
      <c r="V35" s="2"/>
      <c r="W35" s="2"/>
      <c r="X35" s="2"/>
      <c r="Y35" s="2"/>
      <c r="Z35" s="2"/>
    </row>
    <row r="36" spans="1:26" ht="39" customHeight="1" x14ac:dyDescent="0.25">
      <c r="A36" s="2"/>
      <c r="B36" s="2"/>
      <c r="C36" s="2"/>
      <c r="D36" s="7" t="s">
        <v>74</v>
      </c>
      <c r="E36" s="14" t="str">
        <f>E4</f>
        <v>FY19                          Projected Allocation</v>
      </c>
      <c r="F36" s="14" t="s">
        <v>121</v>
      </c>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69" t="s">
        <v>76</v>
      </c>
      <c r="E37" s="203">
        <f>SUM(E5:E15)+E33</f>
        <v>6345270</v>
      </c>
      <c r="F37" s="27">
        <f>E37/E39</f>
        <v>0.74146302132448061</v>
      </c>
      <c r="G37" s="2"/>
      <c r="H37" s="2"/>
      <c r="I37" s="2"/>
      <c r="J37" s="2"/>
      <c r="K37" s="2"/>
      <c r="L37" s="2"/>
      <c r="M37" s="2"/>
      <c r="N37" s="2"/>
      <c r="O37" s="2"/>
      <c r="P37" s="2"/>
      <c r="Q37" s="2"/>
      <c r="R37" s="2"/>
      <c r="S37" s="2"/>
      <c r="T37" s="2"/>
      <c r="U37" s="2"/>
      <c r="V37" s="2"/>
      <c r="W37" s="2"/>
      <c r="X37" s="2"/>
      <c r="Y37" s="2"/>
      <c r="Z37" s="2"/>
    </row>
    <row r="38" spans="1:26" ht="16.5" customHeight="1" x14ac:dyDescent="0.25">
      <c r="A38" s="2"/>
      <c r="B38" s="2"/>
      <c r="C38" s="2"/>
      <c r="D38" s="249" t="s">
        <v>79</v>
      </c>
      <c r="E38" s="199">
        <f>SUM(E16:E25)</f>
        <v>2212500</v>
      </c>
      <c r="F38" s="141">
        <f>E38/E39</f>
        <v>0.25853697867551945</v>
      </c>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50" t="s">
        <v>80</v>
      </c>
      <c r="E39" s="133">
        <f t="shared" ref="E39:F39" si="11">SUM(E37:E38)</f>
        <v>8557770</v>
      </c>
      <c r="F39" s="134">
        <f t="shared" si="11"/>
        <v>1</v>
      </c>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t="s">
        <v>50</v>
      </c>
      <c r="B41" s="2"/>
      <c r="C41" s="2"/>
      <c r="D41" s="2"/>
      <c r="E41" s="2"/>
      <c r="F41" s="2"/>
      <c r="G41" s="2"/>
      <c r="H41" s="2"/>
      <c r="I41" s="2"/>
      <c r="J41" s="2"/>
      <c r="K41" s="2"/>
      <c r="L41" s="2"/>
      <c r="M41" s="2"/>
      <c r="N41" s="2"/>
      <c r="O41" s="2"/>
      <c r="P41" s="2"/>
      <c r="Q41" s="2"/>
      <c r="R41" s="2"/>
      <c r="S41" s="2"/>
      <c r="T41" s="2"/>
      <c r="U41" s="2"/>
      <c r="V41" s="2"/>
      <c r="W41" s="2"/>
      <c r="X41" s="2"/>
      <c r="Y41" s="2"/>
      <c r="Z41" s="2"/>
    </row>
    <row r="42" spans="1:26" ht="30.75" customHeight="1" x14ac:dyDescent="0.25">
      <c r="A42" s="23"/>
      <c r="B42" s="301"/>
      <c r="C42" s="301"/>
      <c r="D42" s="301"/>
      <c r="E42" s="301"/>
      <c r="F42" s="301"/>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thickBot="1" x14ac:dyDescent="0.3">
      <c r="A45" s="2"/>
      <c r="B45" s="2"/>
      <c r="C45" s="2"/>
      <c r="D45" s="160"/>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363" t="str">
        <f>'WAIVER Alloc - Flat by source'!A46:B55</f>
        <v xml:space="preserve">lfs- I did not check the formulas on these calculations. All fiscal years need to be updated and formulas should be confirmed. </v>
      </c>
      <c r="B46" s="269"/>
      <c r="C46" s="269"/>
      <c r="D46" s="270" t="s">
        <v>146</v>
      </c>
      <c r="E46" s="271"/>
      <c r="F46" s="269"/>
      <c r="G46" s="269"/>
      <c r="H46" s="269"/>
      <c r="I46" s="269"/>
      <c r="J46" s="269"/>
      <c r="K46" s="269"/>
      <c r="L46" s="269"/>
      <c r="M46" s="269"/>
      <c r="N46" s="269"/>
      <c r="O46" s="2"/>
      <c r="P46" s="2"/>
      <c r="Q46" s="2"/>
      <c r="R46" s="2"/>
      <c r="S46" s="2"/>
      <c r="T46" s="2"/>
      <c r="U46" s="2"/>
      <c r="V46" s="2"/>
      <c r="W46" s="2"/>
      <c r="X46" s="2"/>
      <c r="Y46" s="2"/>
      <c r="Z46" s="2"/>
    </row>
    <row r="47" spans="1:26" ht="15.75" customHeight="1" x14ac:dyDescent="0.25">
      <c r="A47" s="364"/>
      <c r="B47" s="269"/>
      <c r="C47" s="269"/>
      <c r="D47" s="272" t="s">
        <v>160</v>
      </c>
      <c r="E47" s="273">
        <f>E26</f>
        <v>7819462</v>
      </c>
      <c r="F47" s="269"/>
      <c r="G47" s="269"/>
      <c r="H47" s="269"/>
      <c r="I47" s="269"/>
      <c r="J47" s="269"/>
      <c r="K47" s="269"/>
      <c r="L47" s="269"/>
      <c r="M47" s="269"/>
      <c r="N47" s="269"/>
      <c r="O47" s="2"/>
      <c r="P47" s="2"/>
      <c r="Q47" s="2"/>
      <c r="R47" s="2"/>
      <c r="S47" s="2"/>
      <c r="T47" s="2"/>
      <c r="U47" s="2"/>
      <c r="V47" s="2"/>
      <c r="W47" s="2"/>
      <c r="X47" s="2"/>
      <c r="Y47" s="2"/>
      <c r="Z47" s="2"/>
    </row>
    <row r="48" spans="1:26" ht="15.75" customHeight="1" x14ac:dyDescent="0.25">
      <c r="A48" s="364"/>
      <c r="B48" s="269"/>
      <c r="C48" s="269"/>
      <c r="D48" s="275" t="s">
        <v>161</v>
      </c>
      <c r="E48" s="276">
        <f>MROUND('FY18 Allocations'!E26,5000)</f>
        <v>7445000</v>
      </c>
      <c r="F48" s="277"/>
      <c r="G48" s="277"/>
      <c r="H48" s="269"/>
      <c r="I48" s="269"/>
      <c r="J48" s="269"/>
      <c r="K48" s="269"/>
      <c r="L48" s="269"/>
      <c r="M48" s="269"/>
      <c r="N48" s="269"/>
      <c r="O48" s="2"/>
      <c r="P48" s="2"/>
      <c r="Q48" s="2"/>
      <c r="R48" s="2"/>
      <c r="S48" s="2"/>
      <c r="T48" s="2"/>
      <c r="U48" s="2"/>
      <c r="V48" s="2"/>
      <c r="W48" s="2"/>
      <c r="X48" s="2"/>
      <c r="Y48" s="2"/>
      <c r="Z48" s="2"/>
    </row>
    <row r="49" spans="1:26" ht="15.75" customHeight="1" x14ac:dyDescent="0.25">
      <c r="A49" s="364"/>
      <c r="B49" s="269"/>
      <c r="C49" s="269"/>
      <c r="D49" s="272" t="s">
        <v>162</v>
      </c>
      <c r="E49" s="278">
        <f>E47-E48</f>
        <v>374462</v>
      </c>
      <c r="F49" s="279">
        <f>E49/E48</f>
        <v>5.0297112155809266E-2</v>
      </c>
      <c r="G49" s="277" t="s">
        <v>163</v>
      </c>
      <c r="H49" s="280"/>
      <c r="I49" s="281"/>
      <c r="J49" s="283"/>
      <c r="K49" s="269"/>
      <c r="L49" s="269"/>
      <c r="M49" s="269"/>
      <c r="N49" s="269"/>
      <c r="O49" s="2"/>
      <c r="P49" s="2"/>
      <c r="Q49" s="2"/>
      <c r="R49" s="2"/>
      <c r="S49" s="2"/>
      <c r="T49" s="2"/>
      <c r="U49" s="2"/>
      <c r="V49" s="2"/>
      <c r="W49" s="2"/>
      <c r="X49" s="2"/>
      <c r="Y49" s="2"/>
      <c r="Z49" s="2"/>
    </row>
    <row r="50" spans="1:26" ht="15.75" customHeight="1" x14ac:dyDescent="0.25">
      <c r="A50" s="364"/>
      <c r="B50" s="269"/>
      <c r="C50" s="269"/>
      <c r="D50" s="285"/>
      <c r="E50" s="288"/>
      <c r="F50" s="269"/>
      <c r="G50" s="269"/>
      <c r="H50" s="269"/>
      <c r="I50" s="269"/>
      <c r="J50" s="269"/>
      <c r="K50" s="269"/>
      <c r="L50" s="269"/>
      <c r="M50" s="269"/>
      <c r="N50" s="269"/>
      <c r="O50" s="2"/>
      <c r="P50" s="2"/>
      <c r="Q50" s="2"/>
      <c r="R50" s="2"/>
      <c r="S50" s="2"/>
      <c r="T50" s="2"/>
      <c r="U50" s="2"/>
      <c r="V50" s="2"/>
      <c r="W50" s="2"/>
      <c r="X50" s="2"/>
      <c r="Y50" s="2"/>
      <c r="Z50" s="2"/>
    </row>
    <row r="51" spans="1:26" ht="15.75" customHeight="1" x14ac:dyDescent="0.25">
      <c r="A51" s="364"/>
      <c r="B51" s="269"/>
      <c r="C51" s="269"/>
      <c r="D51" s="272" t="s">
        <v>164</v>
      </c>
      <c r="E51" s="273">
        <f>E33</f>
        <v>738308</v>
      </c>
      <c r="F51" s="269"/>
      <c r="G51" s="269"/>
      <c r="H51" s="269"/>
      <c r="I51" s="269"/>
      <c r="J51" s="269"/>
      <c r="K51" s="269"/>
      <c r="L51" s="269"/>
      <c r="M51" s="269"/>
      <c r="N51" s="269"/>
      <c r="O51" s="2"/>
      <c r="P51" s="2"/>
      <c r="Q51" s="2"/>
      <c r="R51" s="2"/>
      <c r="S51" s="2"/>
      <c r="T51" s="2"/>
      <c r="U51" s="2"/>
      <c r="V51" s="2"/>
      <c r="W51" s="2"/>
      <c r="X51" s="2"/>
      <c r="Y51" s="2"/>
      <c r="Z51" s="2"/>
    </row>
    <row r="52" spans="1:26" ht="15.75" customHeight="1" x14ac:dyDescent="0.25">
      <c r="A52" s="364"/>
      <c r="B52" s="269"/>
      <c r="C52" s="269"/>
      <c r="D52" s="275" t="s">
        <v>165</v>
      </c>
      <c r="E52" s="276">
        <f>MROUND('FY18 Allocations'!E33,5000)</f>
        <v>705000</v>
      </c>
      <c r="F52" s="269"/>
      <c r="G52" s="269"/>
      <c r="H52" s="269"/>
      <c r="I52" s="269"/>
      <c r="J52" s="269"/>
      <c r="K52" s="269"/>
      <c r="L52" s="269"/>
      <c r="M52" s="269"/>
      <c r="N52" s="269"/>
      <c r="O52" s="2"/>
      <c r="P52" s="2"/>
      <c r="Q52" s="2"/>
      <c r="R52" s="2"/>
      <c r="S52" s="2"/>
      <c r="T52" s="2"/>
      <c r="U52" s="2"/>
      <c r="V52" s="2"/>
      <c r="W52" s="2"/>
      <c r="X52" s="2"/>
      <c r="Y52" s="2"/>
      <c r="Z52" s="2"/>
    </row>
    <row r="53" spans="1:26" ht="15.75" customHeight="1" x14ac:dyDescent="0.25">
      <c r="A53" s="364"/>
      <c r="B53" s="269"/>
      <c r="C53" s="269"/>
      <c r="D53" s="272" t="s">
        <v>166</v>
      </c>
      <c r="E53" s="278">
        <f>E51-E52</f>
        <v>33308</v>
      </c>
      <c r="F53" s="279">
        <f>E53/E52</f>
        <v>4.7245390070921989E-2</v>
      </c>
      <c r="G53" s="277" t="s">
        <v>156</v>
      </c>
      <c r="H53" s="269"/>
      <c r="I53" s="269"/>
      <c r="J53" s="269"/>
      <c r="K53" s="269"/>
      <c r="L53" s="269"/>
      <c r="M53" s="269"/>
      <c r="N53" s="269"/>
      <c r="O53" s="2"/>
      <c r="P53" s="2"/>
      <c r="Q53" s="2"/>
      <c r="R53" s="2"/>
      <c r="S53" s="2"/>
      <c r="T53" s="2"/>
      <c r="U53" s="2"/>
      <c r="V53" s="2"/>
      <c r="W53" s="2"/>
      <c r="X53" s="2"/>
      <c r="Y53" s="2"/>
      <c r="Z53" s="2"/>
    </row>
    <row r="54" spans="1:26" ht="15.75" customHeight="1" x14ac:dyDescent="0.25">
      <c r="A54" s="364"/>
      <c r="B54" s="269"/>
      <c r="C54" s="269"/>
      <c r="D54" s="272"/>
      <c r="E54" s="278"/>
      <c r="F54" s="269"/>
      <c r="G54" s="269"/>
      <c r="H54" s="269"/>
      <c r="I54" s="269"/>
      <c r="J54" s="269"/>
      <c r="K54" s="269"/>
      <c r="L54" s="269"/>
      <c r="M54" s="269"/>
      <c r="N54" s="269"/>
      <c r="O54" s="2"/>
      <c r="P54" s="2"/>
      <c r="Q54" s="2"/>
      <c r="R54" s="2"/>
      <c r="S54" s="2"/>
      <c r="T54" s="2"/>
      <c r="U54" s="2"/>
      <c r="V54" s="2"/>
      <c r="W54" s="2"/>
      <c r="X54" s="2"/>
      <c r="Y54" s="2"/>
      <c r="Z54" s="2"/>
    </row>
    <row r="55" spans="1:26" ht="15.75" customHeight="1" x14ac:dyDescent="0.25">
      <c r="A55" s="364"/>
      <c r="B55" s="269"/>
      <c r="C55" s="269"/>
      <c r="D55" s="290" t="s">
        <v>167</v>
      </c>
      <c r="E55" s="292">
        <f>E49+E53</f>
        <v>407770</v>
      </c>
      <c r="F55" s="279">
        <f>E55/(E48+E52)</f>
        <v>5.0033128834355831E-2</v>
      </c>
      <c r="G55" s="277" t="s">
        <v>157</v>
      </c>
      <c r="H55" s="269"/>
      <c r="I55" s="269"/>
      <c r="J55" s="269"/>
      <c r="K55" s="269"/>
      <c r="L55" s="269"/>
      <c r="M55" s="269"/>
      <c r="N55" s="269"/>
      <c r="O55" s="2"/>
      <c r="P55" s="2"/>
      <c r="Q55" s="2"/>
      <c r="R55" s="2"/>
      <c r="S55" s="2"/>
      <c r="T55" s="2"/>
      <c r="U55" s="2"/>
      <c r="V55" s="2"/>
      <c r="W55" s="2"/>
      <c r="X55" s="2"/>
      <c r="Y55" s="2"/>
      <c r="Z55" s="2"/>
    </row>
    <row r="56" spans="1:26" ht="15.75" customHeight="1" x14ac:dyDescent="0.25">
      <c r="A56" s="364"/>
      <c r="B56" s="269"/>
      <c r="C56" s="269"/>
      <c r="D56" s="272"/>
      <c r="E56" s="288"/>
      <c r="F56" s="269"/>
      <c r="G56" s="269"/>
      <c r="H56" s="269"/>
      <c r="I56" s="269"/>
      <c r="J56" s="269"/>
      <c r="K56" s="269"/>
      <c r="L56" s="269"/>
      <c r="M56" s="269"/>
      <c r="N56" s="269"/>
      <c r="O56" s="2"/>
      <c r="P56" s="2"/>
      <c r="Q56" s="2"/>
      <c r="R56" s="2"/>
      <c r="S56" s="2"/>
      <c r="T56" s="2"/>
      <c r="U56" s="2"/>
      <c r="V56" s="2"/>
      <c r="W56" s="2"/>
      <c r="X56" s="2"/>
      <c r="Y56" s="2"/>
      <c r="Z56" s="2"/>
    </row>
    <row r="57" spans="1:26" ht="15.75" customHeight="1" x14ac:dyDescent="0.25">
      <c r="A57" s="364"/>
      <c r="B57" s="269"/>
      <c r="C57" s="269"/>
      <c r="D57" s="272" t="s">
        <v>168</v>
      </c>
      <c r="E57" s="273">
        <f>E26+E33</f>
        <v>8557770</v>
      </c>
      <c r="F57" s="277"/>
      <c r="G57" s="269"/>
      <c r="H57" s="293"/>
      <c r="I57" s="269"/>
      <c r="J57" s="269"/>
      <c r="K57" s="269"/>
      <c r="L57" s="269"/>
      <c r="M57" s="269"/>
      <c r="N57" s="269"/>
      <c r="O57" s="2"/>
      <c r="P57" s="2"/>
      <c r="Q57" s="2"/>
      <c r="R57" s="2"/>
      <c r="S57" s="2"/>
      <c r="T57" s="2"/>
      <c r="U57" s="2"/>
      <c r="V57" s="2"/>
      <c r="W57" s="2"/>
      <c r="X57" s="2"/>
      <c r="Y57" s="2"/>
      <c r="Z57" s="2"/>
    </row>
    <row r="58" spans="1:26" ht="15.75" customHeight="1" x14ac:dyDescent="0.25">
      <c r="A58" s="364"/>
      <c r="B58" s="269"/>
      <c r="C58" s="269"/>
      <c r="D58" s="294" t="s">
        <v>169</v>
      </c>
      <c r="E58" s="276">
        <f>MROUND('FY18 Allocations'!E40,5000)</f>
        <v>8150000</v>
      </c>
      <c r="F58" s="277"/>
      <c r="G58" s="269"/>
      <c r="H58" s="277"/>
      <c r="I58" s="269"/>
      <c r="J58" s="269"/>
      <c r="K58" s="269"/>
      <c r="L58" s="269"/>
      <c r="M58" s="269"/>
      <c r="N58" s="269"/>
      <c r="O58" s="2"/>
      <c r="P58" s="2"/>
      <c r="Q58" s="2"/>
      <c r="R58" s="2"/>
      <c r="S58" s="2"/>
      <c r="T58" s="2"/>
      <c r="U58" s="2"/>
      <c r="V58" s="2"/>
      <c r="W58" s="2"/>
      <c r="X58" s="2"/>
      <c r="Y58" s="2"/>
      <c r="Z58" s="2"/>
    </row>
    <row r="59" spans="1:26" ht="15.75" customHeight="1" x14ac:dyDescent="0.25">
      <c r="A59" s="364"/>
      <c r="B59" s="269"/>
      <c r="C59" s="269"/>
      <c r="D59" s="290" t="s">
        <v>170</v>
      </c>
      <c r="E59" s="292">
        <f>E57-E58</f>
        <v>407770</v>
      </c>
      <c r="F59" s="269"/>
      <c r="G59" s="269"/>
      <c r="H59" s="280"/>
      <c r="I59" s="269"/>
      <c r="J59" s="269"/>
      <c r="K59" s="269"/>
      <c r="L59" s="269"/>
      <c r="M59" s="269"/>
      <c r="N59" s="269"/>
      <c r="O59" s="2"/>
      <c r="P59" s="2"/>
      <c r="Q59" s="2"/>
      <c r="R59" s="2"/>
      <c r="S59" s="2"/>
      <c r="T59" s="2"/>
      <c r="U59" s="2"/>
      <c r="V59" s="2"/>
      <c r="W59" s="2"/>
      <c r="X59" s="2"/>
      <c r="Y59" s="2"/>
      <c r="Z59" s="2"/>
    </row>
    <row r="60" spans="1:26" ht="15.75" customHeight="1" x14ac:dyDescent="0.25">
      <c r="A60" s="364"/>
      <c r="B60" s="269"/>
      <c r="C60" s="269"/>
      <c r="D60" s="285"/>
      <c r="E60" s="288"/>
      <c r="F60" s="269"/>
      <c r="G60" s="269"/>
      <c r="H60" s="269"/>
      <c r="I60" s="269"/>
      <c r="J60" s="269"/>
      <c r="K60" s="269"/>
      <c r="L60" s="269"/>
      <c r="M60" s="269"/>
      <c r="N60" s="269"/>
      <c r="O60" s="2"/>
      <c r="P60" s="2"/>
      <c r="Q60" s="2"/>
      <c r="R60" s="2"/>
      <c r="S60" s="2"/>
      <c r="T60" s="2"/>
      <c r="U60" s="2"/>
      <c r="V60" s="2"/>
      <c r="W60" s="2"/>
      <c r="X60" s="2"/>
      <c r="Y60" s="2"/>
      <c r="Z60" s="2"/>
    </row>
    <row r="61" spans="1:26" ht="15.75" customHeight="1" x14ac:dyDescent="0.25">
      <c r="A61" s="364"/>
      <c r="B61" s="269"/>
      <c r="C61" s="269"/>
      <c r="D61" s="367"/>
      <c r="E61" s="358"/>
      <c r="F61" s="269"/>
      <c r="G61" s="269"/>
      <c r="H61" s="269"/>
      <c r="I61" s="269"/>
      <c r="J61" s="269"/>
      <c r="K61" s="269"/>
      <c r="L61" s="269"/>
      <c r="M61" s="269"/>
      <c r="N61" s="269"/>
      <c r="O61" s="2"/>
      <c r="P61" s="2"/>
      <c r="Q61" s="2"/>
      <c r="R61" s="2"/>
      <c r="S61" s="2"/>
      <c r="T61" s="2"/>
      <c r="U61" s="2"/>
      <c r="V61" s="2"/>
      <c r="W61" s="2"/>
      <c r="X61" s="2"/>
      <c r="Y61" s="2"/>
      <c r="Z61" s="2"/>
    </row>
    <row r="62" spans="1:26" ht="15.75" customHeight="1" x14ac:dyDescent="0.25">
      <c r="A62" s="365"/>
      <c r="B62" s="269"/>
      <c r="C62" s="269"/>
      <c r="D62" s="359"/>
      <c r="E62" s="360"/>
      <c r="F62" s="269"/>
      <c r="G62" s="269"/>
      <c r="H62" s="269"/>
      <c r="I62" s="269"/>
      <c r="J62" s="269"/>
      <c r="K62" s="269"/>
      <c r="L62" s="269"/>
      <c r="M62" s="269"/>
      <c r="N62" s="269"/>
      <c r="O62" s="2"/>
      <c r="P62" s="2"/>
      <c r="Q62" s="2"/>
      <c r="R62" s="2"/>
      <c r="S62" s="2"/>
      <c r="T62" s="2"/>
      <c r="U62" s="2"/>
      <c r="V62" s="2"/>
      <c r="W62" s="2"/>
      <c r="X62" s="2"/>
      <c r="Y62" s="2"/>
      <c r="Z62" s="2"/>
    </row>
    <row r="63" spans="1:26" ht="16.5" customHeight="1" thickBot="1" x14ac:dyDescent="0.3">
      <c r="A63" s="269"/>
      <c r="B63" s="269"/>
      <c r="C63" s="269"/>
      <c r="D63" s="295"/>
      <c r="E63" s="296"/>
      <c r="F63" s="269"/>
      <c r="G63" s="269"/>
      <c r="H63" s="269"/>
      <c r="I63" s="269"/>
      <c r="J63" s="269"/>
      <c r="K63" s="269"/>
      <c r="L63" s="269"/>
      <c r="M63" s="269"/>
      <c r="N63" s="269"/>
      <c r="O63" s="2"/>
      <c r="P63" s="2"/>
      <c r="Q63" s="2"/>
      <c r="R63" s="2"/>
      <c r="S63" s="2"/>
      <c r="T63" s="2"/>
      <c r="U63" s="2"/>
      <c r="V63" s="2"/>
      <c r="W63" s="2"/>
      <c r="X63" s="2"/>
      <c r="Y63" s="2"/>
      <c r="Z63" s="2"/>
    </row>
    <row r="64" spans="1:26" ht="15.75" customHeight="1" x14ac:dyDescent="0.25">
      <c r="A64" s="269"/>
      <c r="B64" s="269"/>
      <c r="C64" s="269"/>
      <c r="D64" s="297"/>
      <c r="E64" s="271"/>
      <c r="F64" s="269"/>
      <c r="G64" s="269"/>
      <c r="H64" s="269"/>
      <c r="I64" s="269"/>
      <c r="J64" s="269"/>
      <c r="K64" s="269"/>
      <c r="L64" s="269"/>
      <c r="M64" s="269"/>
      <c r="N64" s="269"/>
      <c r="O64" s="2"/>
      <c r="P64" s="2"/>
      <c r="Q64" s="2"/>
      <c r="R64" s="2"/>
      <c r="S64" s="2"/>
      <c r="T64" s="2"/>
      <c r="U64" s="2"/>
      <c r="V64" s="2"/>
      <c r="W64" s="2"/>
      <c r="X64" s="2"/>
      <c r="Y64" s="2"/>
      <c r="Z64" s="2"/>
    </row>
    <row r="65" spans="1:26" ht="15.75" customHeight="1" x14ac:dyDescent="0.25">
      <c r="A65" s="269"/>
      <c r="B65" s="269"/>
      <c r="C65" s="269"/>
      <c r="D65" s="298" t="s">
        <v>171</v>
      </c>
      <c r="E65" s="288"/>
      <c r="F65" s="269"/>
      <c r="G65" s="269"/>
      <c r="H65" s="269"/>
      <c r="I65" s="269"/>
      <c r="J65" s="269"/>
      <c r="K65" s="269"/>
      <c r="L65" s="269"/>
      <c r="M65" s="269"/>
      <c r="N65" s="269"/>
      <c r="O65" s="2"/>
      <c r="P65" s="2"/>
      <c r="Q65" s="2"/>
      <c r="R65" s="2"/>
      <c r="S65" s="2"/>
      <c r="T65" s="2"/>
      <c r="U65" s="2"/>
      <c r="V65" s="2"/>
      <c r="W65" s="2"/>
      <c r="X65" s="2"/>
      <c r="Y65" s="2"/>
      <c r="Z65" s="2"/>
    </row>
    <row r="66" spans="1:26" ht="15.75" customHeight="1" x14ac:dyDescent="0.25">
      <c r="A66" s="269"/>
      <c r="B66" s="269"/>
      <c r="C66" s="269"/>
      <c r="D66" s="285" t="s">
        <v>172</v>
      </c>
      <c r="E66" s="273">
        <f>E5+E31</f>
        <v>2457770</v>
      </c>
      <c r="F66" s="269"/>
      <c r="G66" s="269"/>
      <c r="H66" s="269"/>
      <c r="I66" s="269"/>
      <c r="J66" s="269"/>
      <c r="K66" s="269"/>
      <c r="L66" s="269"/>
      <c r="M66" s="269"/>
      <c r="N66" s="269"/>
      <c r="O66" s="2"/>
      <c r="P66" s="2"/>
      <c r="Q66" s="2"/>
      <c r="R66" s="2"/>
      <c r="S66" s="2"/>
      <c r="T66" s="2"/>
      <c r="U66" s="2"/>
      <c r="V66" s="2"/>
      <c r="W66" s="2"/>
      <c r="X66" s="2"/>
      <c r="Y66" s="2"/>
      <c r="Z66" s="2"/>
    </row>
    <row r="67" spans="1:26" ht="31.5" customHeight="1" x14ac:dyDescent="0.25">
      <c r="A67" s="269"/>
      <c r="B67" s="269"/>
      <c r="C67" s="269"/>
      <c r="D67" s="298" t="s">
        <v>173</v>
      </c>
      <c r="E67" s="276">
        <f>'WAIVER Allocation - increase'!Q5</f>
        <v>2460000</v>
      </c>
      <c r="F67" s="269"/>
      <c r="G67" s="269"/>
      <c r="H67" s="269"/>
      <c r="I67" s="269"/>
      <c r="J67" s="269"/>
      <c r="K67" s="269"/>
      <c r="L67" s="269"/>
      <c r="M67" s="269"/>
      <c r="N67" s="269"/>
      <c r="O67" s="2"/>
      <c r="P67" s="2"/>
      <c r="Q67" s="2"/>
      <c r="R67" s="2"/>
      <c r="S67" s="2"/>
      <c r="T67" s="2"/>
      <c r="U67" s="2"/>
      <c r="V67" s="2"/>
      <c r="W67" s="2"/>
      <c r="X67" s="2"/>
      <c r="Y67" s="2"/>
      <c r="Z67" s="2"/>
    </row>
    <row r="68" spans="1:26" ht="15.75" customHeight="1" x14ac:dyDescent="0.25">
      <c r="A68" s="269"/>
      <c r="B68" s="269"/>
      <c r="C68" s="269"/>
      <c r="D68" s="285" t="s">
        <v>153</v>
      </c>
      <c r="E68" s="273">
        <f>E66-E67</f>
        <v>-2230</v>
      </c>
      <c r="F68" s="269"/>
      <c r="G68" s="269"/>
      <c r="H68" s="269"/>
      <c r="I68" s="269"/>
      <c r="J68" s="269"/>
      <c r="K68" s="269"/>
      <c r="L68" s="269"/>
      <c r="M68" s="269"/>
      <c r="N68" s="269"/>
      <c r="O68" s="2"/>
      <c r="P68" s="2"/>
      <c r="Q68" s="2"/>
      <c r="R68" s="2"/>
      <c r="S68" s="2"/>
      <c r="T68" s="2"/>
      <c r="U68" s="2"/>
      <c r="V68" s="2"/>
      <c r="W68" s="2"/>
      <c r="X68" s="2"/>
      <c r="Y68" s="2"/>
      <c r="Z68" s="2"/>
    </row>
    <row r="69" spans="1:26" ht="15.75" customHeight="1" x14ac:dyDescent="0.25">
      <c r="A69" s="269"/>
      <c r="B69" s="269"/>
      <c r="C69" s="269"/>
      <c r="D69" s="285"/>
      <c r="E69" s="273"/>
      <c r="F69" s="269"/>
      <c r="G69" s="269"/>
      <c r="H69" s="269"/>
      <c r="I69" s="269"/>
      <c r="J69" s="269"/>
      <c r="K69" s="269"/>
      <c r="L69" s="269"/>
      <c r="M69" s="269"/>
      <c r="N69" s="269"/>
      <c r="O69" s="2"/>
      <c r="P69" s="2"/>
      <c r="Q69" s="2"/>
      <c r="R69" s="2"/>
      <c r="S69" s="2"/>
      <c r="T69" s="2"/>
      <c r="U69" s="2"/>
      <c r="V69" s="2"/>
      <c r="W69" s="2"/>
      <c r="X69" s="2"/>
      <c r="Y69" s="2"/>
      <c r="Z69" s="2"/>
    </row>
    <row r="70" spans="1:26" ht="15.75" customHeight="1" x14ac:dyDescent="0.25">
      <c r="A70" s="269"/>
      <c r="B70" s="269"/>
      <c r="C70" s="269"/>
      <c r="D70" s="285" t="s">
        <v>154</v>
      </c>
      <c r="E70" s="273">
        <f>E9+E32</f>
        <v>1525000</v>
      </c>
      <c r="F70" s="269"/>
      <c r="G70" s="269"/>
      <c r="H70" s="269"/>
      <c r="I70" s="269"/>
      <c r="J70" s="269"/>
      <c r="K70" s="269"/>
      <c r="L70" s="269"/>
      <c r="M70" s="269"/>
      <c r="N70" s="269"/>
      <c r="O70" s="2"/>
      <c r="P70" s="2"/>
      <c r="Q70" s="2"/>
      <c r="R70" s="2"/>
      <c r="S70" s="2"/>
      <c r="T70" s="2"/>
      <c r="U70" s="2"/>
      <c r="V70" s="2"/>
      <c r="W70" s="2"/>
      <c r="X70" s="2"/>
      <c r="Y70" s="2"/>
      <c r="Z70" s="2"/>
    </row>
    <row r="71" spans="1:26" ht="15.75" customHeight="1" x14ac:dyDescent="0.25">
      <c r="A71" s="269"/>
      <c r="B71" s="269"/>
      <c r="C71" s="269"/>
      <c r="D71" s="285" t="s">
        <v>159</v>
      </c>
      <c r="E71" s="276">
        <f>'WAIVER Allocation - increase'!Q9</f>
        <v>1525000</v>
      </c>
      <c r="F71" s="269"/>
      <c r="G71" s="269"/>
      <c r="H71" s="269"/>
      <c r="I71" s="269"/>
      <c r="J71" s="269"/>
      <c r="K71" s="269"/>
      <c r="L71" s="269"/>
      <c r="M71" s="269"/>
      <c r="N71" s="269"/>
      <c r="O71" s="2"/>
      <c r="P71" s="2"/>
      <c r="Q71" s="2"/>
      <c r="R71" s="2"/>
      <c r="S71" s="2"/>
      <c r="T71" s="2"/>
      <c r="U71" s="2"/>
      <c r="V71" s="2"/>
      <c r="W71" s="2"/>
      <c r="X71" s="2"/>
      <c r="Y71" s="2"/>
      <c r="Z71" s="2"/>
    </row>
    <row r="72" spans="1:26" ht="16.5" customHeight="1" x14ac:dyDescent="0.25">
      <c r="A72" s="269"/>
      <c r="B72" s="269"/>
      <c r="C72" s="269"/>
      <c r="D72" s="299" t="s">
        <v>153</v>
      </c>
      <c r="E72" s="300">
        <f>E70-E71</f>
        <v>0</v>
      </c>
      <c r="F72" s="269"/>
      <c r="G72" s="269"/>
      <c r="H72" s="269"/>
      <c r="I72" s="269"/>
      <c r="J72" s="269"/>
      <c r="K72" s="269"/>
      <c r="L72" s="269"/>
      <c r="M72" s="269"/>
      <c r="N72" s="269"/>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21" workbookViewId="0">
      <selection activeCell="A30" sqref="A30:D30"/>
    </sheetView>
  </sheetViews>
  <sheetFormatPr defaultColWidth="11.25" defaultRowHeight="15" customHeight="1" x14ac:dyDescent="0.25"/>
  <cols>
    <col min="1" max="1" width="9.625" customWidth="1"/>
    <col min="2" max="2" width="52.875" customWidth="1"/>
    <col min="3" max="3" width="16.5" customWidth="1"/>
    <col min="4" max="4" width="15.375" customWidth="1"/>
    <col min="5" max="5" width="12.625" customWidth="1"/>
    <col min="6" max="6" width="10.375" customWidth="1"/>
    <col min="7" max="9" width="15.125" hidden="1" customWidth="1"/>
    <col min="10" max="13" width="11.125" customWidth="1"/>
    <col min="14" max="26" width="15.125" customWidth="1"/>
  </cols>
  <sheetData>
    <row r="1" spans="1:26" ht="15.75" customHeight="1" x14ac:dyDescent="0.25">
      <c r="A1" s="1" t="s">
        <v>5</v>
      </c>
      <c r="C1" s="9"/>
      <c r="D1" s="9"/>
      <c r="F1" s="9"/>
    </row>
    <row r="2" spans="1:26" ht="15.75" customHeight="1" x14ac:dyDescent="0.25">
      <c r="C2" s="9"/>
      <c r="D2" s="9"/>
      <c r="F2" s="9"/>
    </row>
    <row r="3" spans="1:26" ht="15.75" customHeight="1" x14ac:dyDescent="0.25">
      <c r="C3" s="308" t="s">
        <v>12</v>
      </c>
      <c r="D3" s="309"/>
      <c r="E3" s="310"/>
      <c r="F3" s="10"/>
      <c r="G3" t="s">
        <v>13</v>
      </c>
    </row>
    <row r="4" spans="1:26" ht="46.5" customHeight="1" x14ac:dyDescent="0.25">
      <c r="A4" s="6" t="s">
        <v>6</v>
      </c>
      <c r="B4" s="5" t="s">
        <v>8</v>
      </c>
      <c r="C4" s="11" t="s">
        <v>14</v>
      </c>
      <c r="D4" s="12" t="s">
        <v>15</v>
      </c>
      <c r="E4" s="5" t="s">
        <v>16</v>
      </c>
      <c r="F4" s="9"/>
      <c r="G4" s="13" t="s">
        <v>17</v>
      </c>
      <c r="H4" s="14" t="s">
        <v>18</v>
      </c>
      <c r="I4" s="14" t="s">
        <v>19</v>
      </c>
      <c r="J4" s="15" t="s">
        <v>20</v>
      </c>
      <c r="K4" s="15"/>
      <c r="L4" s="15"/>
      <c r="M4" s="15"/>
      <c r="N4" s="15"/>
    </row>
    <row r="5" spans="1:26" ht="18" customHeight="1" x14ac:dyDescent="0.25">
      <c r="A5" s="306" t="s">
        <v>21</v>
      </c>
      <c r="B5" s="16" t="s">
        <v>22</v>
      </c>
      <c r="C5" s="20">
        <f>'FY18 Allocations'!E5+'FY18 Allocations'!E31</f>
        <v>2461622.79</v>
      </c>
      <c r="D5" s="21">
        <v>1775</v>
      </c>
      <c r="E5" s="22">
        <f>ROUND(C5/D5,0)</f>
        <v>1387</v>
      </c>
      <c r="F5" s="9"/>
      <c r="G5" s="35">
        <v>1073</v>
      </c>
      <c r="H5" s="20">
        <f t="shared" ref="H5:H8" si="0">E5-G5</f>
        <v>314</v>
      </c>
      <c r="I5" s="26">
        <f>H5/G5</f>
        <v>0.29263746505125815</v>
      </c>
    </row>
    <row r="6" spans="1:26" ht="18" customHeight="1" x14ac:dyDescent="0.25">
      <c r="A6" s="305"/>
      <c r="B6" s="33" t="s">
        <v>27</v>
      </c>
      <c r="C6" s="38"/>
      <c r="D6" s="21"/>
      <c r="E6" s="40"/>
      <c r="F6" s="9"/>
      <c r="G6" s="42">
        <v>0</v>
      </c>
      <c r="H6" s="38">
        <f t="shared" si="0"/>
        <v>0</v>
      </c>
      <c r="I6" s="44">
        <v>0</v>
      </c>
    </row>
    <row r="7" spans="1:26" ht="18" customHeight="1" x14ac:dyDescent="0.25">
      <c r="A7" s="305"/>
      <c r="B7" s="33" t="s">
        <v>28</v>
      </c>
      <c r="C7" s="38"/>
      <c r="D7" s="21"/>
      <c r="E7" s="40"/>
      <c r="F7" s="9"/>
      <c r="G7" s="42">
        <v>0</v>
      </c>
      <c r="H7" s="38">
        <f t="shared" si="0"/>
        <v>0</v>
      </c>
      <c r="I7" s="44">
        <v>0</v>
      </c>
    </row>
    <row r="8" spans="1:26" ht="18" customHeight="1" x14ac:dyDescent="0.25">
      <c r="A8" s="305"/>
      <c r="B8" s="39" t="s">
        <v>29</v>
      </c>
      <c r="C8" s="38"/>
      <c r="D8" s="46"/>
      <c r="E8" s="40"/>
      <c r="F8" s="9"/>
      <c r="G8" s="42">
        <v>2809</v>
      </c>
      <c r="H8" s="38">
        <f t="shared" si="0"/>
        <v>-2809</v>
      </c>
      <c r="I8" s="44">
        <f>H8/G8</f>
        <v>-1</v>
      </c>
    </row>
    <row r="9" spans="1:26" ht="18" customHeight="1" x14ac:dyDescent="0.25">
      <c r="A9" s="305"/>
      <c r="B9" s="43" t="s">
        <v>31</v>
      </c>
      <c r="C9" s="38">
        <f>'FY18 Allocations'!E9+'FY18 Allocations'!E32</f>
        <v>1553256.17</v>
      </c>
      <c r="D9" s="45">
        <v>625</v>
      </c>
      <c r="E9" s="49">
        <f t="shared" ref="E9:E11" si="1">ROUND(C9/D9,0)</f>
        <v>2485</v>
      </c>
      <c r="F9" s="9"/>
      <c r="G9" s="42"/>
      <c r="H9" s="38"/>
      <c r="I9" s="44"/>
      <c r="J9" s="2"/>
      <c r="K9" s="2"/>
      <c r="L9" s="2"/>
      <c r="M9" s="2"/>
      <c r="N9" s="2"/>
      <c r="O9" s="2"/>
      <c r="P9" s="2"/>
      <c r="Q9" s="2"/>
      <c r="R9" s="2"/>
      <c r="S9" s="2"/>
      <c r="T9" s="2"/>
      <c r="U9" s="2"/>
      <c r="V9" s="2"/>
      <c r="W9" s="2"/>
      <c r="X9" s="2"/>
      <c r="Y9" s="2"/>
      <c r="Z9" s="2"/>
    </row>
    <row r="10" spans="1:26" ht="18" customHeight="1" x14ac:dyDescent="0.25">
      <c r="A10" s="305"/>
      <c r="B10" s="39" t="s">
        <v>32</v>
      </c>
      <c r="C10" s="38">
        <f>'FY18 Allocations'!E10</f>
        <v>4468.26</v>
      </c>
      <c r="D10" s="21">
        <v>32</v>
      </c>
      <c r="E10" s="40">
        <f t="shared" si="1"/>
        <v>140</v>
      </c>
      <c r="F10" s="9"/>
      <c r="G10" s="42">
        <v>3852</v>
      </c>
      <c r="H10" s="38">
        <f t="shared" ref="H10:H12" si="2">E10-G10</f>
        <v>-3712</v>
      </c>
      <c r="I10" s="44">
        <f t="shared" ref="I10:I12" si="3">H10/G10</f>
        <v>-0.96365524402907576</v>
      </c>
    </row>
    <row r="11" spans="1:26" ht="18" customHeight="1" x14ac:dyDescent="0.25">
      <c r="A11" s="305"/>
      <c r="B11" s="39" t="s">
        <v>33</v>
      </c>
      <c r="C11" s="38">
        <f>'FY18 Allocations'!E11</f>
        <v>18617.77</v>
      </c>
      <c r="D11" s="21">
        <v>5</v>
      </c>
      <c r="E11" s="40">
        <f t="shared" si="1"/>
        <v>3724</v>
      </c>
      <c r="F11" s="9"/>
      <c r="G11" s="42">
        <v>926</v>
      </c>
      <c r="H11" s="38">
        <f t="shared" si="2"/>
        <v>2798</v>
      </c>
      <c r="I11" s="44">
        <f t="shared" si="3"/>
        <v>3.0215982721382288</v>
      </c>
    </row>
    <row r="12" spans="1:26" ht="18" customHeight="1" x14ac:dyDescent="0.25">
      <c r="A12" s="305"/>
      <c r="B12" s="33" t="s">
        <v>34</v>
      </c>
      <c r="C12" s="38"/>
      <c r="D12" s="21"/>
      <c r="E12" s="40"/>
      <c r="F12" s="9"/>
      <c r="G12" s="42">
        <v>302</v>
      </c>
      <c r="H12" s="38">
        <f t="shared" si="2"/>
        <v>-302</v>
      </c>
      <c r="I12" s="44">
        <f t="shared" si="3"/>
        <v>-1</v>
      </c>
    </row>
    <row r="13" spans="1:26" ht="18" customHeight="1" x14ac:dyDescent="0.25">
      <c r="A13" s="305"/>
      <c r="B13" s="33" t="s">
        <v>35</v>
      </c>
      <c r="C13" s="38">
        <f>'FY18 Allocations'!E13</f>
        <v>190645.93</v>
      </c>
      <c r="D13" s="21">
        <v>219</v>
      </c>
      <c r="E13" s="40">
        <f t="shared" ref="E13:E16" si="4">ROUND(C13/D13,0)</f>
        <v>871</v>
      </c>
      <c r="F13" s="9"/>
      <c r="G13" s="42"/>
      <c r="H13" s="38"/>
      <c r="I13" s="44"/>
      <c r="J13" s="2"/>
      <c r="K13" s="2"/>
      <c r="L13" s="2"/>
      <c r="M13" s="2"/>
      <c r="N13" s="2"/>
      <c r="O13" s="2"/>
      <c r="P13" s="2"/>
      <c r="Q13" s="2"/>
      <c r="R13" s="2"/>
      <c r="S13" s="2"/>
      <c r="T13" s="2"/>
      <c r="U13" s="2"/>
      <c r="V13" s="2"/>
      <c r="W13" s="2"/>
      <c r="X13" s="2"/>
      <c r="Y13" s="2"/>
      <c r="Z13" s="2"/>
    </row>
    <row r="14" spans="1:26" ht="18" customHeight="1" x14ac:dyDescent="0.25">
      <c r="A14" s="305"/>
      <c r="B14" s="39" t="s">
        <v>36</v>
      </c>
      <c r="C14" s="38">
        <f>'FY18 Allocations'!E14</f>
        <v>247243.94</v>
      </c>
      <c r="D14" s="45">
        <v>950</v>
      </c>
      <c r="E14" s="40">
        <f t="shared" si="4"/>
        <v>260</v>
      </c>
      <c r="F14" s="60"/>
      <c r="G14" s="61">
        <v>1976</v>
      </c>
      <c r="H14" s="62">
        <f>E13-G14</f>
        <v>-1105</v>
      </c>
      <c r="I14" s="63">
        <f>H14/G14</f>
        <v>-0.55921052631578949</v>
      </c>
      <c r="J14" s="64"/>
      <c r="K14" s="64"/>
      <c r="L14" s="64"/>
      <c r="M14" s="64"/>
      <c r="N14" s="64"/>
      <c r="O14" s="64"/>
      <c r="P14" s="64"/>
      <c r="Q14" s="64"/>
      <c r="R14" s="64"/>
      <c r="S14" s="64"/>
      <c r="T14" s="64"/>
      <c r="U14" s="64"/>
      <c r="V14" s="64"/>
      <c r="W14" s="64"/>
      <c r="X14" s="64"/>
      <c r="Y14" s="64"/>
      <c r="Z14" s="64"/>
    </row>
    <row r="15" spans="1:26" ht="18" customHeight="1" x14ac:dyDescent="0.25">
      <c r="A15" s="302"/>
      <c r="B15" s="58" t="s">
        <v>37</v>
      </c>
      <c r="C15" s="126">
        <f>'FY18 Allocations'!E15</f>
        <v>1904969.9</v>
      </c>
      <c r="D15" s="70">
        <v>725</v>
      </c>
      <c r="E15" s="40">
        <f t="shared" si="4"/>
        <v>2628</v>
      </c>
      <c r="F15" s="60"/>
      <c r="G15" s="118">
        <v>0</v>
      </c>
      <c r="H15" s="123" t="e">
        <f>#REF!-G15</f>
        <v>#REF!</v>
      </c>
      <c r="I15" s="128">
        <v>0</v>
      </c>
      <c r="J15" s="64"/>
      <c r="K15" s="64"/>
      <c r="L15" s="64"/>
      <c r="M15" s="64"/>
      <c r="N15" s="64"/>
      <c r="O15" s="64"/>
      <c r="P15" s="64"/>
      <c r="Q15" s="64"/>
      <c r="R15" s="64"/>
      <c r="S15" s="64"/>
      <c r="T15" s="64"/>
      <c r="U15" s="64"/>
      <c r="V15" s="64"/>
      <c r="W15" s="64"/>
      <c r="X15" s="64"/>
      <c r="Y15" s="64"/>
      <c r="Z15" s="64"/>
    </row>
    <row r="16" spans="1:26" ht="15.75" customHeight="1" x14ac:dyDescent="0.25">
      <c r="A16" s="306" t="s">
        <v>39</v>
      </c>
      <c r="B16" s="69" t="s">
        <v>40</v>
      </c>
      <c r="C16" s="20">
        <f>'FY18 Allocations'!E16</f>
        <v>116174.86</v>
      </c>
      <c r="D16" s="21">
        <v>242</v>
      </c>
      <c r="E16" s="22">
        <f t="shared" si="4"/>
        <v>480</v>
      </c>
      <c r="F16" s="9"/>
      <c r="G16" s="35">
        <v>259</v>
      </c>
      <c r="H16" s="20">
        <f t="shared" ref="H16:H23" si="5">E16-G16</f>
        <v>221</v>
      </c>
      <c r="I16" s="26">
        <f t="shared" ref="I16:I22" si="6">H16/G16</f>
        <v>0.85328185328185324</v>
      </c>
    </row>
    <row r="17" spans="1:9" ht="15.75" customHeight="1" x14ac:dyDescent="0.25">
      <c r="A17" s="305"/>
      <c r="B17" s="39" t="s">
        <v>41</v>
      </c>
      <c r="C17" s="38"/>
      <c r="D17" s="21"/>
      <c r="E17" s="40"/>
      <c r="F17" s="9"/>
      <c r="G17" s="42">
        <v>1431</v>
      </c>
      <c r="H17" s="38">
        <f t="shared" si="5"/>
        <v>-1431</v>
      </c>
      <c r="I17" s="44">
        <f t="shared" si="6"/>
        <v>-1</v>
      </c>
    </row>
    <row r="18" spans="1:9" ht="15.75" customHeight="1" x14ac:dyDescent="0.25">
      <c r="A18" s="305"/>
      <c r="B18" s="39" t="s">
        <v>42</v>
      </c>
      <c r="C18" s="38">
        <f>'FY18 Allocations'!E18</f>
        <v>460975.9</v>
      </c>
      <c r="D18" s="21">
        <v>219</v>
      </c>
      <c r="E18" s="40">
        <f t="shared" ref="E18:E20" si="7">ROUND(C18/D18,0)</f>
        <v>2105</v>
      </c>
      <c r="F18" s="9"/>
      <c r="G18" s="42">
        <v>268</v>
      </c>
      <c r="H18" s="38">
        <f t="shared" si="5"/>
        <v>1837</v>
      </c>
      <c r="I18" s="44">
        <f t="shared" si="6"/>
        <v>6.8544776119402986</v>
      </c>
    </row>
    <row r="19" spans="1:9" ht="15.75" customHeight="1" x14ac:dyDescent="0.25">
      <c r="A19" s="305"/>
      <c r="B19" s="33" t="s">
        <v>43</v>
      </c>
      <c r="C19" s="38">
        <f>'FY18 Allocations'!E19</f>
        <v>330651.53999999998</v>
      </c>
      <c r="D19" s="21">
        <v>1390</v>
      </c>
      <c r="E19" s="40">
        <f t="shared" si="7"/>
        <v>238</v>
      </c>
      <c r="F19" s="9"/>
      <c r="G19" s="42">
        <v>1212</v>
      </c>
      <c r="H19" s="38">
        <f t="shared" si="5"/>
        <v>-974</v>
      </c>
      <c r="I19" s="44">
        <f t="shared" si="6"/>
        <v>-0.80363036303630364</v>
      </c>
    </row>
    <row r="20" spans="1:9" ht="15.75" customHeight="1" x14ac:dyDescent="0.25">
      <c r="A20" s="305"/>
      <c r="B20" s="33" t="s">
        <v>44</v>
      </c>
      <c r="C20" s="38">
        <f>'FY18 Allocations'!E20</f>
        <v>78939.33</v>
      </c>
      <c r="D20" s="21">
        <v>15</v>
      </c>
      <c r="E20" s="40">
        <f t="shared" si="7"/>
        <v>5263</v>
      </c>
      <c r="F20" s="9"/>
      <c r="G20" s="42">
        <v>9828</v>
      </c>
      <c r="H20" s="38">
        <f t="shared" si="5"/>
        <v>-4565</v>
      </c>
      <c r="I20" s="44">
        <f t="shared" si="6"/>
        <v>-0.46448921448921449</v>
      </c>
    </row>
    <row r="21" spans="1:9" ht="15.75" customHeight="1" x14ac:dyDescent="0.25">
      <c r="A21" s="305"/>
      <c r="B21" s="33" t="s">
        <v>45</v>
      </c>
      <c r="C21" s="38"/>
      <c r="D21" s="21"/>
      <c r="E21" s="40"/>
      <c r="F21" s="9"/>
      <c r="G21" s="42">
        <v>954</v>
      </c>
      <c r="H21" s="38">
        <f t="shared" si="5"/>
        <v>-954</v>
      </c>
      <c r="I21" s="44">
        <f t="shared" si="6"/>
        <v>-1</v>
      </c>
    </row>
    <row r="22" spans="1:9" ht="15.75" customHeight="1" x14ac:dyDescent="0.25">
      <c r="A22" s="305"/>
      <c r="B22" s="33" t="s">
        <v>46</v>
      </c>
      <c r="C22" s="38">
        <f>'FY18 Allocations'!E22</f>
        <v>689602.08</v>
      </c>
      <c r="D22" s="21">
        <v>710</v>
      </c>
      <c r="E22" s="40">
        <f t="shared" ref="E22:E24" si="8">ROUND(C22/D22,0)</f>
        <v>971</v>
      </c>
      <c r="F22" s="9"/>
      <c r="G22" s="42">
        <v>229</v>
      </c>
      <c r="H22" s="38">
        <f t="shared" si="5"/>
        <v>742</v>
      </c>
      <c r="I22" s="44">
        <f t="shared" si="6"/>
        <v>3.2401746724890828</v>
      </c>
    </row>
    <row r="23" spans="1:9" ht="15.75" customHeight="1" x14ac:dyDescent="0.25">
      <c r="A23" s="305"/>
      <c r="B23" s="33" t="s">
        <v>47</v>
      </c>
      <c r="C23" s="38">
        <f>'FY18 Allocations'!E23</f>
        <v>23086.03</v>
      </c>
      <c r="D23" s="21">
        <v>12</v>
      </c>
      <c r="E23" s="40">
        <f t="shared" si="8"/>
        <v>1924</v>
      </c>
      <c r="F23" s="9"/>
      <c r="G23" s="42">
        <v>0</v>
      </c>
      <c r="H23" s="38">
        <f t="shared" si="5"/>
        <v>1924</v>
      </c>
      <c r="I23" s="44">
        <v>0</v>
      </c>
    </row>
    <row r="24" spans="1:9" ht="15.75" customHeight="1" x14ac:dyDescent="0.25">
      <c r="A24" s="305"/>
      <c r="B24" s="33" t="s">
        <v>48</v>
      </c>
      <c r="C24" s="38">
        <f>'FY18 Allocations'!E24</f>
        <v>70002.8</v>
      </c>
      <c r="D24" s="46">
        <v>225</v>
      </c>
      <c r="E24" s="40">
        <f t="shared" si="8"/>
        <v>311</v>
      </c>
      <c r="F24" s="9"/>
      <c r="G24" s="136"/>
      <c r="H24" s="142"/>
      <c r="I24" s="55"/>
    </row>
    <row r="25" spans="1:9" ht="15.75" customHeight="1" x14ac:dyDescent="0.25">
      <c r="A25" s="305"/>
      <c r="B25" s="76" t="s">
        <v>49</v>
      </c>
      <c r="C25" s="126"/>
      <c r="D25" s="70"/>
      <c r="E25" s="147"/>
      <c r="F25" s="9"/>
      <c r="G25" s="136"/>
      <c r="H25" s="142"/>
      <c r="I25" s="55"/>
    </row>
    <row r="26" spans="1:9" ht="15.75" customHeight="1" x14ac:dyDescent="0.25">
      <c r="A26" s="130"/>
      <c r="B26" s="149" t="s">
        <v>69</v>
      </c>
      <c r="C26" s="20">
        <f>SUM(C5:C25)</f>
        <v>8150257.3000000007</v>
      </c>
      <c r="D26" s="88"/>
      <c r="E26" s="88"/>
      <c r="F26" s="9"/>
      <c r="G26" s="35"/>
      <c r="H26" s="143"/>
      <c r="I26" s="143"/>
    </row>
    <row r="27" spans="1:9" ht="15.75" customHeight="1" x14ac:dyDescent="0.25">
      <c r="C27" s="9"/>
      <c r="D27" s="9"/>
      <c r="F27" s="9"/>
    </row>
    <row r="28" spans="1:9" ht="15.75" customHeight="1" x14ac:dyDescent="0.25">
      <c r="A28" s="78" t="s">
        <v>50</v>
      </c>
      <c r="B28" s="79"/>
      <c r="C28" s="80"/>
      <c r="D28" s="80"/>
      <c r="F28" s="9"/>
    </row>
    <row r="29" spans="1:9" ht="15.75" customHeight="1" x14ac:dyDescent="0.25">
      <c r="A29" s="79" t="s">
        <v>77</v>
      </c>
      <c r="B29" s="79"/>
      <c r="C29" s="80"/>
      <c r="D29" s="80"/>
      <c r="F29" s="9"/>
    </row>
    <row r="30" spans="1:9" ht="55.5" customHeight="1" x14ac:dyDescent="0.25">
      <c r="A30" s="337" t="s">
        <v>78</v>
      </c>
      <c r="B30" s="338"/>
      <c r="C30" s="338"/>
      <c r="D30" s="339"/>
      <c r="F30" s="9"/>
    </row>
    <row r="31" spans="1:9" ht="15.75" customHeight="1" x14ac:dyDescent="0.25">
      <c r="C31" s="9"/>
      <c r="D31" s="9"/>
      <c r="F31" s="9"/>
    </row>
    <row r="32" spans="1:9" ht="15.75" customHeight="1" x14ac:dyDescent="0.25">
      <c r="C32" s="9"/>
      <c r="D32" s="9"/>
      <c r="F32" s="9"/>
    </row>
    <row r="33" spans="3:6" ht="15.75" customHeight="1" x14ac:dyDescent="0.25">
      <c r="C33" s="9"/>
      <c r="D33" s="9"/>
      <c r="F33" s="9"/>
    </row>
    <row r="34" spans="3:6" ht="15.75" customHeight="1" x14ac:dyDescent="0.25">
      <c r="C34" s="9"/>
      <c r="D34" s="9"/>
      <c r="F34" s="9"/>
    </row>
    <row r="35" spans="3:6" ht="15.75" customHeight="1" x14ac:dyDescent="0.25">
      <c r="C35" s="9"/>
      <c r="D35" s="9"/>
      <c r="F35" s="9"/>
    </row>
    <row r="36" spans="3:6" ht="15.75" customHeight="1" x14ac:dyDescent="0.25">
      <c r="C36" s="9"/>
      <c r="D36" s="9"/>
      <c r="F36" s="9"/>
    </row>
    <row r="37" spans="3:6" ht="15.75" customHeight="1" x14ac:dyDescent="0.25">
      <c r="C37" s="9"/>
      <c r="D37" s="9"/>
      <c r="F37" s="9"/>
    </row>
    <row r="38" spans="3:6" ht="15.75" customHeight="1" x14ac:dyDescent="0.25">
      <c r="C38" s="9"/>
      <c r="D38" s="9"/>
      <c r="F38" s="9"/>
    </row>
    <row r="39" spans="3:6" ht="15.75" customHeight="1" x14ac:dyDescent="0.25">
      <c r="C39" s="9"/>
      <c r="D39" s="9"/>
      <c r="F39" s="9"/>
    </row>
    <row r="40" spans="3:6" ht="15.75" customHeight="1" x14ac:dyDescent="0.25">
      <c r="C40" s="9"/>
      <c r="D40" s="9"/>
      <c r="F40" s="9"/>
    </row>
    <row r="41" spans="3:6" ht="15.75" customHeight="1" x14ac:dyDescent="0.25">
      <c r="C41" s="9"/>
      <c r="D41" s="9"/>
      <c r="F41" s="9"/>
    </row>
    <row r="42" spans="3:6" ht="15.75" customHeight="1" x14ac:dyDescent="0.25">
      <c r="C42" s="9"/>
      <c r="D42" s="9"/>
      <c r="F42" s="9"/>
    </row>
    <row r="43" spans="3:6" ht="15.75" customHeight="1" x14ac:dyDescent="0.25">
      <c r="C43" s="9"/>
      <c r="D43" s="9"/>
      <c r="F43" s="9"/>
    </row>
    <row r="44" spans="3:6" ht="15.75" customHeight="1" x14ac:dyDescent="0.25">
      <c r="C44" s="9"/>
      <c r="D44" s="9"/>
      <c r="F44" s="9"/>
    </row>
    <row r="45" spans="3:6" ht="15.75" customHeight="1" x14ac:dyDescent="0.25">
      <c r="C45" s="9"/>
      <c r="D45" s="9"/>
      <c r="F45" s="9"/>
    </row>
    <row r="46" spans="3:6" ht="15.75" customHeight="1" x14ac:dyDescent="0.25">
      <c r="C46" s="9"/>
      <c r="D46" s="9"/>
      <c r="F46" s="9"/>
    </row>
    <row r="47" spans="3:6" ht="15.75" customHeight="1" x14ac:dyDescent="0.25">
      <c r="C47" s="9"/>
      <c r="D47" s="9"/>
      <c r="F47" s="9"/>
    </row>
    <row r="48" spans="3:6" ht="15.75" customHeight="1" x14ac:dyDescent="0.25">
      <c r="C48" s="9"/>
      <c r="D48" s="9"/>
      <c r="F48" s="9"/>
    </row>
    <row r="49" spans="3:6" ht="15.75" customHeight="1" x14ac:dyDescent="0.25">
      <c r="C49" s="9"/>
      <c r="D49" s="9"/>
      <c r="F49" s="9"/>
    </row>
    <row r="50" spans="3:6" ht="15.75" customHeight="1" x14ac:dyDescent="0.25">
      <c r="C50" s="9"/>
      <c r="D50" s="9"/>
      <c r="F50" s="9"/>
    </row>
    <row r="51" spans="3:6" ht="15.75" customHeight="1" x14ac:dyDescent="0.25">
      <c r="C51" s="9"/>
      <c r="D51" s="9"/>
      <c r="F51" s="9"/>
    </row>
    <row r="52" spans="3:6" ht="15.75" customHeight="1" x14ac:dyDescent="0.25">
      <c r="C52" s="9"/>
      <c r="D52" s="9"/>
      <c r="F52" s="9"/>
    </row>
    <row r="53" spans="3:6" ht="15.75" customHeight="1" x14ac:dyDescent="0.25">
      <c r="C53" s="9"/>
      <c r="D53" s="9"/>
      <c r="F53" s="9"/>
    </row>
    <row r="54" spans="3:6" ht="15.75" customHeight="1" x14ac:dyDescent="0.25">
      <c r="C54" s="9"/>
      <c r="D54" s="9"/>
      <c r="F54" s="9"/>
    </row>
    <row r="55" spans="3:6" ht="15.75" customHeight="1" x14ac:dyDescent="0.25">
      <c r="C55" s="9"/>
      <c r="D55" s="9"/>
      <c r="F55" s="9"/>
    </row>
    <row r="56" spans="3:6" ht="15.75" customHeight="1" x14ac:dyDescent="0.25">
      <c r="C56" s="9"/>
      <c r="D56" s="9"/>
      <c r="F56" s="9"/>
    </row>
    <row r="57" spans="3:6" ht="15.75" customHeight="1" x14ac:dyDescent="0.25">
      <c r="C57" s="9"/>
      <c r="D57" s="9"/>
      <c r="F57" s="9"/>
    </row>
    <row r="58" spans="3:6" ht="15.75" customHeight="1" x14ac:dyDescent="0.25">
      <c r="C58" s="9"/>
      <c r="D58" s="9"/>
      <c r="F58" s="9"/>
    </row>
    <row r="59" spans="3:6" ht="15.75" customHeight="1" x14ac:dyDescent="0.25">
      <c r="C59" s="9"/>
      <c r="D59" s="9"/>
      <c r="F59" s="9"/>
    </row>
    <row r="60" spans="3:6" ht="15.75" customHeight="1" x14ac:dyDescent="0.25">
      <c r="C60" s="9"/>
      <c r="D60" s="9"/>
      <c r="F60" s="9"/>
    </row>
    <row r="61" spans="3:6" ht="15.75" customHeight="1" x14ac:dyDescent="0.25">
      <c r="C61" s="9"/>
      <c r="D61" s="9"/>
      <c r="F61" s="9"/>
    </row>
    <row r="62" spans="3:6" ht="15.75" customHeight="1" x14ac:dyDescent="0.25">
      <c r="C62" s="9"/>
      <c r="D62" s="9"/>
      <c r="F62" s="9"/>
    </row>
    <row r="63" spans="3:6" ht="15.75" customHeight="1" x14ac:dyDescent="0.25">
      <c r="C63" s="9"/>
      <c r="D63" s="9"/>
      <c r="F63" s="9"/>
    </row>
    <row r="64" spans="3:6" ht="15.75" customHeight="1" x14ac:dyDescent="0.25">
      <c r="C64" s="9"/>
      <c r="D64" s="9"/>
      <c r="F64" s="9"/>
    </row>
    <row r="65" spans="3:6" ht="15.75" customHeight="1" x14ac:dyDescent="0.25">
      <c r="C65" s="9"/>
      <c r="D65" s="9"/>
      <c r="F65" s="9"/>
    </row>
    <row r="66" spans="3:6" ht="15.75" customHeight="1" x14ac:dyDescent="0.25">
      <c r="C66" s="9"/>
      <c r="D66" s="9"/>
      <c r="F66" s="9"/>
    </row>
    <row r="67" spans="3:6" ht="15.75" customHeight="1" x14ac:dyDescent="0.25">
      <c r="C67" s="9"/>
      <c r="D67" s="9"/>
      <c r="F67" s="9"/>
    </row>
    <row r="68" spans="3:6" ht="15.75" customHeight="1" x14ac:dyDescent="0.25">
      <c r="C68" s="9"/>
      <c r="D68" s="9"/>
      <c r="F68" s="9"/>
    </row>
    <row r="69" spans="3:6" ht="15.75" customHeight="1" x14ac:dyDescent="0.25">
      <c r="C69" s="9"/>
      <c r="D69" s="9"/>
      <c r="F69" s="9"/>
    </row>
    <row r="70" spans="3:6" ht="15.75" customHeight="1" x14ac:dyDescent="0.25">
      <c r="C70" s="9"/>
      <c r="D70" s="9"/>
      <c r="F70" s="9"/>
    </row>
    <row r="71" spans="3:6" ht="15.75" customHeight="1" x14ac:dyDescent="0.25">
      <c r="C71" s="9"/>
      <c r="D71" s="9"/>
      <c r="F71" s="9"/>
    </row>
    <row r="72" spans="3:6" ht="15.75" customHeight="1" x14ac:dyDescent="0.25">
      <c r="C72" s="9"/>
      <c r="D72" s="9"/>
      <c r="F72" s="9"/>
    </row>
    <row r="73" spans="3:6" ht="15.75" customHeight="1" x14ac:dyDescent="0.25">
      <c r="C73" s="9"/>
      <c r="D73" s="9"/>
      <c r="F73" s="9"/>
    </row>
    <row r="74" spans="3:6" ht="15.75" customHeight="1" x14ac:dyDescent="0.25">
      <c r="C74" s="9"/>
      <c r="D74" s="9"/>
      <c r="F74" s="9"/>
    </row>
    <row r="75" spans="3:6" ht="15.75" customHeight="1" x14ac:dyDescent="0.25">
      <c r="C75" s="9"/>
      <c r="D75" s="9"/>
      <c r="F75" s="9"/>
    </row>
    <row r="76" spans="3:6" ht="15.75" customHeight="1" x14ac:dyDescent="0.25">
      <c r="C76" s="9"/>
      <c r="D76" s="9"/>
      <c r="F76" s="9"/>
    </row>
    <row r="77" spans="3:6" ht="15.75" customHeight="1" x14ac:dyDescent="0.25">
      <c r="C77" s="9"/>
      <c r="D77" s="9"/>
      <c r="F77" s="9"/>
    </row>
    <row r="78" spans="3:6" ht="15.75" customHeight="1" x14ac:dyDescent="0.25">
      <c r="C78" s="9"/>
      <c r="D78" s="9"/>
      <c r="F78" s="9"/>
    </row>
    <row r="79" spans="3:6" ht="15.75" customHeight="1" x14ac:dyDescent="0.25">
      <c r="C79" s="9"/>
      <c r="D79" s="9"/>
      <c r="F79" s="9"/>
    </row>
    <row r="80" spans="3:6" ht="15.75" customHeight="1" x14ac:dyDescent="0.25">
      <c r="C80" s="9"/>
      <c r="D80" s="9"/>
      <c r="F80" s="9"/>
    </row>
    <row r="81" spans="3:6" ht="15.75" customHeight="1" x14ac:dyDescent="0.25">
      <c r="C81" s="9"/>
      <c r="D81" s="9"/>
      <c r="F81" s="9"/>
    </row>
    <row r="82" spans="3:6" ht="15.75" customHeight="1" x14ac:dyDescent="0.25">
      <c r="C82" s="9"/>
      <c r="D82" s="9"/>
      <c r="F82" s="9"/>
    </row>
    <row r="83" spans="3:6" ht="15.75" customHeight="1" x14ac:dyDescent="0.25">
      <c r="C83" s="9"/>
      <c r="D83" s="9"/>
      <c r="F83" s="9"/>
    </row>
    <row r="84" spans="3:6" ht="15.75" customHeight="1" x14ac:dyDescent="0.25">
      <c r="C84" s="9"/>
      <c r="D84" s="9"/>
      <c r="F84" s="9"/>
    </row>
    <row r="85" spans="3:6" ht="15.75" customHeight="1" x14ac:dyDescent="0.25">
      <c r="C85" s="9"/>
      <c r="D85" s="9"/>
      <c r="F85" s="9"/>
    </row>
    <row r="86" spans="3:6" ht="15.75" customHeight="1" x14ac:dyDescent="0.25">
      <c r="C86" s="9"/>
      <c r="D86" s="9"/>
      <c r="F86" s="9"/>
    </row>
    <row r="87" spans="3:6" ht="15.75" customHeight="1" x14ac:dyDescent="0.25">
      <c r="C87" s="9"/>
      <c r="D87" s="9"/>
      <c r="F87" s="9"/>
    </row>
    <row r="88" spans="3:6" ht="15.75" customHeight="1" x14ac:dyDescent="0.25">
      <c r="C88" s="9"/>
      <c r="D88" s="9"/>
      <c r="F88" s="9"/>
    </row>
    <row r="89" spans="3:6" ht="15.75" customHeight="1" x14ac:dyDescent="0.25">
      <c r="C89" s="9"/>
      <c r="D89" s="9"/>
      <c r="F89" s="9"/>
    </row>
    <row r="90" spans="3:6" ht="15.75" customHeight="1" x14ac:dyDescent="0.25">
      <c r="C90" s="9"/>
      <c r="D90" s="9"/>
      <c r="F90" s="9"/>
    </row>
    <row r="91" spans="3:6" ht="15.75" customHeight="1" x14ac:dyDescent="0.25">
      <c r="C91" s="9"/>
      <c r="D91" s="9"/>
      <c r="F91" s="9"/>
    </row>
    <row r="92" spans="3:6" ht="15.75" customHeight="1" x14ac:dyDescent="0.25">
      <c r="C92" s="9"/>
      <c r="D92" s="9"/>
      <c r="F92" s="9"/>
    </row>
    <row r="93" spans="3:6" ht="15.75" customHeight="1" x14ac:dyDescent="0.25">
      <c r="C93" s="9"/>
      <c r="D93" s="9"/>
      <c r="F93" s="9"/>
    </row>
    <row r="94" spans="3:6" ht="15.75" customHeight="1" x14ac:dyDescent="0.25">
      <c r="C94" s="9"/>
      <c r="D94" s="9"/>
      <c r="F94" s="9"/>
    </row>
    <row r="95" spans="3:6" ht="15.75" customHeight="1" x14ac:dyDescent="0.25">
      <c r="C95" s="9"/>
      <c r="D95" s="9"/>
      <c r="F95" s="9"/>
    </row>
    <row r="96" spans="3:6" ht="15.75" customHeight="1" x14ac:dyDescent="0.25">
      <c r="C96" s="9"/>
      <c r="D96" s="9"/>
      <c r="F96" s="9"/>
    </row>
    <row r="97" spans="3:6" ht="15.75" customHeight="1" x14ac:dyDescent="0.25">
      <c r="C97" s="9"/>
      <c r="D97" s="9"/>
      <c r="F97" s="9"/>
    </row>
    <row r="98" spans="3:6" ht="15.75" customHeight="1" x14ac:dyDescent="0.25">
      <c r="C98" s="9"/>
      <c r="D98" s="9"/>
      <c r="F98" s="9"/>
    </row>
    <row r="99" spans="3:6" ht="15.75" customHeight="1" x14ac:dyDescent="0.25">
      <c r="C99" s="9"/>
      <c r="D99" s="9"/>
      <c r="F99" s="9"/>
    </row>
    <row r="100" spans="3:6" ht="15.75" customHeight="1" x14ac:dyDescent="0.25">
      <c r="C100" s="9"/>
      <c r="D100" s="9"/>
      <c r="F100" s="9"/>
    </row>
    <row r="101" spans="3:6" ht="15.75" customHeight="1" x14ac:dyDescent="0.25">
      <c r="C101" s="9"/>
      <c r="D101" s="9"/>
      <c r="F101" s="9"/>
    </row>
    <row r="102" spans="3:6" ht="15.75" customHeight="1" x14ac:dyDescent="0.25">
      <c r="C102" s="9"/>
      <c r="D102" s="9"/>
      <c r="F102" s="9"/>
    </row>
    <row r="103" spans="3:6" ht="15.75" customHeight="1" x14ac:dyDescent="0.25">
      <c r="C103" s="9"/>
      <c r="D103" s="9"/>
      <c r="F103" s="9"/>
    </row>
    <row r="104" spans="3:6" ht="15.75" customHeight="1" x14ac:dyDescent="0.25">
      <c r="C104" s="9"/>
      <c r="D104" s="9"/>
      <c r="F104" s="9"/>
    </row>
    <row r="105" spans="3:6" ht="15.75" customHeight="1" x14ac:dyDescent="0.25">
      <c r="C105" s="9"/>
      <c r="D105" s="9"/>
      <c r="F105" s="9"/>
    </row>
    <row r="106" spans="3:6" ht="15.75" customHeight="1" x14ac:dyDescent="0.25">
      <c r="C106" s="9"/>
      <c r="D106" s="9"/>
      <c r="F106" s="9"/>
    </row>
    <row r="107" spans="3:6" ht="15.75" customHeight="1" x14ac:dyDescent="0.25">
      <c r="C107" s="9"/>
      <c r="D107" s="9"/>
      <c r="F107" s="9"/>
    </row>
    <row r="108" spans="3:6" ht="15.75" customHeight="1" x14ac:dyDescent="0.25">
      <c r="C108" s="9"/>
      <c r="D108" s="9"/>
      <c r="F108" s="9"/>
    </row>
    <row r="109" spans="3:6" ht="15.75" customHeight="1" x14ac:dyDescent="0.25">
      <c r="C109" s="9"/>
      <c r="D109" s="9"/>
      <c r="F109" s="9"/>
    </row>
    <row r="110" spans="3:6" ht="15.75" customHeight="1" x14ac:dyDescent="0.25">
      <c r="C110" s="9"/>
      <c r="D110" s="9"/>
      <c r="F110" s="9"/>
    </row>
    <row r="111" spans="3:6" ht="15.75" customHeight="1" x14ac:dyDescent="0.25">
      <c r="C111" s="9"/>
      <c r="D111" s="9"/>
      <c r="F111" s="9"/>
    </row>
    <row r="112" spans="3:6" ht="15.75" customHeight="1" x14ac:dyDescent="0.25">
      <c r="C112" s="9"/>
      <c r="D112" s="9"/>
      <c r="F112" s="9"/>
    </row>
    <row r="113" spans="3:6" ht="15.75" customHeight="1" x14ac:dyDescent="0.25">
      <c r="C113" s="9"/>
      <c r="D113" s="9"/>
      <c r="F113" s="9"/>
    </row>
    <row r="114" spans="3:6" ht="15.75" customHeight="1" x14ac:dyDescent="0.25">
      <c r="C114" s="9"/>
      <c r="D114" s="9"/>
      <c r="F114" s="9"/>
    </row>
    <row r="115" spans="3:6" ht="15.75" customHeight="1" x14ac:dyDescent="0.25">
      <c r="C115" s="9"/>
      <c r="D115" s="9"/>
      <c r="F115" s="9"/>
    </row>
    <row r="116" spans="3:6" ht="15.75" customHeight="1" x14ac:dyDescent="0.25">
      <c r="C116" s="9"/>
      <c r="D116" s="9"/>
      <c r="F116" s="9"/>
    </row>
    <row r="117" spans="3:6" ht="15.75" customHeight="1" x14ac:dyDescent="0.25">
      <c r="C117" s="9"/>
      <c r="D117" s="9"/>
      <c r="F117" s="9"/>
    </row>
    <row r="118" spans="3:6" ht="15.75" customHeight="1" x14ac:dyDescent="0.25">
      <c r="C118" s="9"/>
      <c r="D118" s="9"/>
      <c r="F118" s="9"/>
    </row>
    <row r="119" spans="3:6" ht="15.75" customHeight="1" x14ac:dyDescent="0.25">
      <c r="C119" s="9"/>
      <c r="D119" s="9"/>
      <c r="F119" s="9"/>
    </row>
    <row r="120" spans="3:6" ht="15.75" customHeight="1" x14ac:dyDescent="0.25">
      <c r="C120" s="9"/>
      <c r="D120" s="9"/>
      <c r="F120" s="9"/>
    </row>
    <row r="121" spans="3:6" ht="15.75" customHeight="1" x14ac:dyDescent="0.25">
      <c r="C121" s="9"/>
      <c r="D121" s="9"/>
      <c r="F121" s="9"/>
    </row>
    <row r="122" spans="3:6" ht="15.75" customHeight="1" x14ac:dyDescent="0.25">
      <c r="C122" s="9"/>
      <c r="D122" s="9"/>
      <c r="F122" s="9"/>
    </row>
    <row r="123" spans="3:6" ht="15.75" customHeight="1" x14ac:dyDescent="0.25">
      <c r="C123" s="9"/>
      <c r="D123" s="9"/>
      <c r="F123" s="9"/>
    </row>
    <row r="124" spans="3:6" ht="15.75" customHeight="1" x14ac:dyDescent="0.25">
      <c r="C124" s="9"/>
      <c r="D124" s="9"/>
      <c r="F124" s="9"/>
    </row>
    <row r="125" spans="3:6" ht="15.75" customHeight="1" x14ac:dyDescent="0.25">
      <c r="C125" s="9"/>
      <c r="D125" s="9"/>
      <c r="F125" s="9"/>
    </row>
    <row r="126" spans="3:6" ht="15.75" customHeight="1" x14ac:dyDescent="0.25">
      <c r="C126" s="9"/>
      <c r="D126" s="9"/>
      <c r="F126" s="9"/>
    </row>
    <row r="127" spans="3:6" ht="15.75" customHeight="1" x14ac:dyDescent="0.25">
      <c r="C127" s="9"/>
      <c r="D127" s="9"/>
      <c r="F127" s="9"/>
    </row>
    <row r="128" spans="3:6" ht="15.75" customHeight="1" x14ac:dyDescent="0.25">
      <c r="C128" s="9"/>
      <c r="D128" s="9"/>
      <c r="F128" s="9"/>
    </row>
    <row r="129" spans="3:6" ht="15.75" customHeight="1" x14ac:dyDescent="0.25">
      <c r="C129" s="9"/>
      <c r="D129" s="9"/>
      <c r="F129" s="9"/>
    </row>
    <row r="130" spans="3:6" ht="15.75" customHeight="1" x14ac:dyDescent="0.25">
      <c r="C130" s="9"/>
      <c r="D130" s="9"/>
      <c r="F130" s="9"/>
    </row>
    <row r="131" spans="3:6" ht="15.75" customHeight="1" x14ac:dyDescent="0.25">
      <c r="C131" s="9"/>
      <c r="D131" s="9"/>
      <c r="F131" s="9"/>
    </row>
    <row r="132" spans="3:6" ht="15.75" customHeight="1" x14ac:dyDescent="0.25">
      <c r="C132" s="9"/>
      <c r="D132" s="9"/>
      <c r="F132" s="9"/>
    </row>
    <row r="133" spans="3:6" ht="15.75" customHeight="1" x14ac:dyDescent="0.25">
      <c r="C133" s="9"/>
      <c r="D133" s="9"/>
      <c r="F133" s="9"/>
    </row>
    <row r="134" spans="3:6" ht="15.75" customHeight="1" x14ac:dyDescent="0.25">
      <c r="C134" s="9"/>
      <c r="D134" s="9"/>
      <c r="F134" s="9"/>
    </row>
    <row r="135" spans="3:6" ht="15.75" customHeight="1" x14ac:dyDescent="0.25">
      <c r="C135" s="9"/>
      <c r="D135" s="9"/>
      <c r="F135" s="9"/>
    </row>
    <row r="136" spans="3:6" ht="15.75" customHeight="1" x14ac:dyDescent="0.25">
      <c r="C136" s="9"/>
      <c r="D136" s="9"/>
      <c r="F136" s="9"/>
    </row>
    <row r="137" spans="3:6" ht="15.75" customHeight="1" x14ac:dyDescent="0.25">
      <c r="C137" s="9"/>
      <c r="D137" s="9"/>
      <c r="F137" s="9"/>
    </row>
    <row r="138" spans="3:6" ht="15.75" customHeight="1" x14ac:dyDescent="0.25">
      <c r="C138" s="9"/>
      <c r="D138" s="9"/>
      <c r="F138" s="9"/>
    </row>
    <row r="139" spans="3:6" ht="15.75" customHeight="1" x14ac:dyDescent="0.25">
      <c r="C139" s="9"/>
      <c r="D139" s="9"/>
      <c r="F139" s="9"/>
    </row>
    <row r="140" spans="3:6" ht="15.75" customHeight="1" x14ac:dyDescent="0.25">
      <c r="C140" s="9"/>
      <c r="D140" s="9"/>
      <c r="F140" s="9"/>
    </row>
    <row r="141" spans="3:6" ht="15.75" customHeight="1" x14ac:dyDescent="0.25">
      <c r="C141" s="9"/>
      <c r="D141" s="9"/>
      <c r="F141" s="9"/>
    </row>
    <row r="142" spans="3:6" ht="15.75" customHeight="1" x14ac:dyDescent="0.25">
      <c r="C142" s="9"/>
      <c r="D142" s="9"/>
      <c r="F142" s="9"/>
    </row>
    <row r="143" spans="3:6" ht="15.75" customHeight="1" x14ac:dyDescent="0.25">
      <c r="C143" s="9"/>
      <c r="D143" s="9"/>
      <c r="F143" s="9"/>
    </row>
    <row r="144" spans="3:6" ht="15.75" customHeight="1" x14ac:dyDescent="0.25">
      <c r="C144" s="9"/>
      <c r="D144" s="9"/>
      <c r="F144" s="9"/>
    </row>
    <row r="145" spans="3:6" ht="15.75" customHeight="1" x14ac:dyDescent="0.25">
      <c r="C145" s="9"/>
      <c r="D145" s="9"/>
      <c r="F145" s="9"/>
    </row>
    <row r="146" spans="3:6" ht="15.75" customHeight="1" x14ac:dyDescent="0.25">
      <c r="C146" s="9"/>
      <c r="D146" s="9"/>
      <c r="F146" s="9"/>
    </row>
    <row r="147" spans="3:6" ht="15.75" customHeight="1" x14ac:dyDescent="0.25">
      <c r="C147" s="9"/>
      <c r="D147" s="9"/>
      <c r="F147" s="9"/>
    </row>
    <row r="148" spans="3:6" ht="15.75" customHeight="1" x14ac:dyDescent="0.25">
      <c r="C148" s="9"/>
      <c r="D148" s="9"/>
      <c r="F148" s="9"/>
    </row>
    <row r="149" spans="3:6" ht="15.75" customHeight="1" x14ac:dyDescent="0.25">
      <c r="C149" s="9"/>
      <c r="D149" s="9"/>
      <c r="F149" s="9"/>
    </row>
    <row r="150" spans="3:6" ht="15.75" customHeight="1" x14ac:dyDescent="0.25">
      <c r="C150" s="9"/>
      <c r="D150" s="9"/>
      <c r="F150" s="9"/>
    </row>
    <row r="151" spans="3:6" ht="15.75" customHeight="1" x14ac:dyDescent="0.25">
      <c r="C151" s="9"/>
      <c r="D151" s="9"/>
      <c r="F151" s="9"/>
    </row>
    <row r="152" spans="3:6" ht="15.75" customHeight="1" x14ac:dyDescent="0.25">
      <c r="C152" s="9"/>
      <c r="D152" s="9"/>
      <c r="F152" s="9"/>
    </row>
    <row r="153" spans="3:6" ht="15.75" customHeight="1" x14ac:dyDescent="0.25">
      <c r="C153" s="9"/>
      <c r="D153" s="9"/>
      <c r="F153" s="9"/>
    </row>
    <row r="154" spans="3:6" ht="15.75" customHeight="1" x14ac:dyDescent="0.25">
      <c r="C154" s="9"/>
      <c r="D154" s="9"/>
      <c r="F154" s="9"/>
    </row>
    <row r="155" spans="3:6" ht="15.75" customHeight="1" x14ac:dyDescent="0.25">
      <c r="C155" s="9"/>
      <c r="D155" s="9"/>
      <c r="F155" s="9"/>
    </row>
    <row r="156" spans="3:6" ht="15.75" customHeight="1" x14ac:dyDescent="0.25">
      <c r="C156" s="9"/>
      <c r="D156" s="9"/>
      <c r="F156" s="9"/>
    </row>
    <row r="157" spans="3:6" ht="15.75" customHeight="1" x14ac:dyDescent="0.25">
      <c r="C157" s="9"/>
      <c r="D157" s="9"/>
      <c r="F157" s="9"/>
    </row>
    <row r="158" spans="3:6" ht="15.75" customHeight="1" x14ac:dyDescent="0.25">
      <c r="C158" s="9"/>
      <c r="D158" s="9"/>
      <c r="F158" s="9"/>
    </row>
    <row r="159" spans="3:6" ht="15.75" customHeight="1" x14ac:dyDescent="0.25">
      <c r="C159" s="9"/>
      <c r="D159" s="9"/>
      <c r="F159" s="9"/>
    </row>
    <row r="160" spans="3:6" ht="15.75" customHeight="1" x14ac:dyDescent="0.25">
      <c r="C160" s="9"/>
      <c r="D160" s="9"/>
      <c r="F160" s="9"/>
    </row>
    <row r="161" spans="3:6" ht="15.75" customHeight="1" x14ac:dyDescent="0.25">
      <c r="C161" s="9"/>
      <c r="D161" s="9"/>
      <c r="F161" s="9"/>
    </row>
    <row r="162" spans="3:6" ht="15.75" customHeight="1" x14ac:dyDescent="0.25">
      <c r="C162" s="9"/>
      <c r="D162" s="9"/>
      <c r="F162" s="9"/>
    </row>
    <row r="163" spans="3:6" ht="15.75" customHeight="1" x14ac:dyDescent="0.25">
      <c r="C163" s="9"/>
      <c r="D163" s="9"/>
      <c r="F163" s="9"/>
    </row>
    <row r="164" spans="3:6" ht="15.75" customHeight="1" x14ac:dyDescent="0.25">
      <c r="C164" s="9"/>
      <c r="D164" s="9"/>
      <c r="F164" s="9"/>
    </row>
    <row r="165" spans="3:6" ht="15.75" customHeight="1" x14ac:dyDescent="0.25">
      <c r="C165" s="9"/>
      <c r="D165" s="9"/>
      <c r="F165" s="9"/>
    </row>
    <row r="166" spans="3:6" ht="15.75" customHeight="1" x14ac:dyDescent="0.25">
      <c r="C166" s="9"/>
      <c r="D166" s="9"/>
      <c r="F166" s="9"/>
    </row>
    <row r="167" spans="3:6" ht="15.75" customHeight="1" x14ac:dyDescent="0.25">
      <c r="C167" s="9"/>
      <c r="D167" s="9"/>
      <c r="F167" s="9"/>
    </row>
    <row r="168" spans="3:6" ht="15.75" customHeight="1" x14ac:dyDescent="0.25">
      <c r="C168" s="9"/>
      <c r="D168" s="9"/>
      <c r="F168" s="9"/>
    </row>
    <row r="169" spans="3:6" ht="15.75" customHeight="1" x14ac:dyDescent="0.25">
      <c r="C169" s="9"/>
      <c r="D169" s="9"/>
      <c r="F169" s="9"/>
    </row>
    <row r="170" spans="3:6" ht="15.75" customHeight="1" x14ac:dyDescent="0.25">
      <c r="C170" s="9"/>
      <c r="D170" s="9"/>
      <c r="F170" s="9"/>
    </row>
    <row r="171" spans="3:6" ht="15.75" customHeight="1" x14ac:dyDescent="0.25">
      <c r="C171" s="9"/>
      <c r="D171" s="9"/>
      <c r="F171" s="9"/>
    </row>
    <row r="172" spans="3:6" ht="15.75" customHeight="1" x14ac:dyDescent="0.25">
      <c r="C172" s="9"/>
      <c r="D172" s="9"/>
      <c r="F172" s="9"/>
    </row>
    <row r="173" spans="3:6" ht="15.75" customHeight="1" x14ac:dyDescent="0.25">
      <c r="C173" s="9"/>
      <c r="D173" s="9"/>
      <c r="F173" s="9"/>
    </row>
    <row r="174" spans="3:6" ht="15.75" customHeight="1" x14ac:dyDescent="0.25">
      <c r="C174" s="9"/>
      <c r="D174" s="9"/>
      <c r="F174" s="9"/>
    </row>
    <row r="175" spans="3:6" ht="15.75" customHeight="1" x14ac:dyDescent="0.25">
      <c r="C175" s="9"/>
      <c r="D175" s="9"/>
      <c r="F175" s="9"/>
    </row>
    <row r="176" spans="3:6" ht="15.75" customHeight="1" x14ac:dyDescent="0.25">
      <c r="C176" s="9"/>
      <c r="D176" s="9"/>
      <c r="F176" s="9"/>
    </row>
    <row r="177" spans="3:6" ht="15.75" customHeight="1" x14ac:dyDescent="0.25">
      <c r="C177" s="9"/>
      <c r="D177" s="9"/>
      <c r="F177" s="9"/>
    </row>
    <row r="178" spans="3:6" ht="15.75" customHeight="1" x14ac:dyDescent="0.25">
      <c r="C178" s="9"/>
      <c r="D178" s="9"/>
      <c r="F178" s="9"/>
    </row>
    <row r="179" spans="3:6" ht="15.75" customHeight="1" x14ac:dyDescent="0.25">
      <c r="C179" s="9"/>
      <c r="D179" s="9"/>
      <c r="F179" s="9"/>
    </row>
    <row r="180" spans="3:6" ht="15.75" customHeight="1" x14ac:dyDescent="0.25">
      <c r="C180" s="9"/>
      <c r="D180" s="9"/>
      <c r="F180" s="9"/>
    </row>
    <row r="181" spans="3:6" ht="15.75" customHeight="1" x14ac:dyDescent="0.25">
      <c r="C181" s="9"/>
      <c r="D181" s="9"/>
      <c r="F181" s="9"/>
    </row>
    <row r="182" spans="3:6" ht="15.75" customHeight="1" x14ac:dyDescent="0.25">
      <c r="C182" s="9"/>
      <c r="D182" s="9"/>
      <c r="F182" s="9"/>
    </row>
    <row r="183" spans="3:6" ht="15.75" customHeight="1" x14ac:dyDescent="0.25">
      <c r="C183" s="9"/>
      <c r="D183" s="9"/>
      <c r="F183" s="9"/>
    </row>
    <row r="184" spans="3:6" ht="15.75" customHeight="1" x14ac:dyDescent="0.25">
      <c r="C184" s="9"/>
      <c r="D184" s="9"/>
      <c r="F184" s="9"/>
    </row>
    <row r="185" spans="3:6" ht="15.75" customHeight="1" x14ac:dyDescent="0.25">
      <c r="C185" s="9"/>
      <c r="D185" s="9"/>
      <c r="F185" s="9"/>
    </row>
    <row r="186" spans="3:6" ht="15.75" customHeight="1" x14ac:dyDescent="0.25">
      <c r="C186" s="9"/>
      <c r="D186" s="9"/>
      <c r="F186" s="9"/>
    </row>
    <row r="187" spans="3:6" ht="15.75" customHeight="1" x14ac:dyDescent="0.25">
      <c r="C187" s="9"/>
      <c r="D187" s="9"/>
      <c r="F187" s="9"/>
    </row>
    <row r="188" spans="3:6" ht="15.75" customHeight="1" x14ac:dyDescent="0.25">
      <c r="C188" s="9"/>
      <c r="D188" s="9"/>
      <c r="F188" s="9"/>
    </row>
    <row r="189" spans="3:6" ht="15.75" customHeight="1" x14ac:dyDescent="0.25">
      <c r="C189" s="9"/>
      <c r="D189" s="9"/>
      <c r="F189" s="9"/>
    </row>
    <row r="190" spans="3:6" ht="15.75" customHeight="1" x14ac:dyDescent="0.25">
      <c r="C190" s="9"/>
      <c r="D190" s="9"/>
      <c r="F190" s="9"/>
    </row>
    <row r="191" spans="3:6" ht="15.75" customHeight="1" x14ac:dyDescent="0.25">
      <c r="C191" s="9"/>
      <c r="D191" s="9"/>
      <c r="F191" s="9"/>
    </row>
    <row r="192" spans="3:6" ht="15.75" customHeight="1" x14ac:dyDescent="0.25">
      <c r="C192" s="9"/>
      <c r="D192" s="9"/>
      <c r="F192" s="9"/>
    </row>
    <row r="193" spans="3:6" ht="15.75" customHeight="1" x14ac:dyDescent="0.25">
      <c r="C193" s="9"/>
      <c r="D193" s="9"/>
      <c r="F193" s="9"/>
    </row>
    <row r="194" spans="3:6" ht="15.75" customHeight="1" x14ac:dyDescent="0.25">
      <c r="C194" s="9"/>
      <c r="D194" s="9"/>
      <c r="F194" s="9"/>
    </row>
    <row r="195" spans="3:6" ht="15.75" customHeight="1" x14ac:dyDescent="0.25">
      <c r="C195" s="9"/>
      <c r="D195" s="9"/>
      <c r="F195" s="9"/>
    </row>
    <row r="196" spans="3:6" ht="15.75" customHeight="1" x14ac:dyDescent="0.25">
      <c r="C196" s="9"/>
      <c r="D196" s="9"/>
      <c r="F196" s="9"/>
    </row>
    <row r="197" spans="3:6" ht="15.75" customHeight="1" x14ac:dyDescent="0.25">
      <c r="C197" s="9"/>
      <c r="D197" s="9"/>
      <c r="F197" s="9"/>
    </row>
    <row r="198" spans="3:6" ht="15.75" customHeight="1" x14ac:dyDescent="0.25">
      <c r="C198" s="9"/>
      <c r="D198" s="9"/>
      <c r="F198" s="9"/>
    </row>
    <row r="199" spans="3:6" ht="15.75" customHeight="1" x14ac:dyDescent="0.25">
      <c r="C199" s="9"/>
      <c r="D199" s="9"/>
      <c r="F199" s="9"/>
    </row>
    <row r="200" spans="3:6" ht="15.75" customHeight="1" x14ac:dyDescent="0.25">
      <c r="C200" s="9"/>
      <c r="D200" s="9"/>
      <c r="F200" s="9"/>
    </row>
    <row r="201" spans="3:6" ht="15.75" customHeight="1" x14ac:dyDescent="0.25">
      <c r="C201" s="9"/>
      <c r="D201" s="9"/>
      <c r="F201" s="9"/>
    </row>
    <row r="202" spans="3:6" ht="15.75" customHeight="1" x14ac:dyDescent="0.25">
      <c r="C202" s="9"/>
      <c r="D202" s="9"/>
      <c r="F202" s="9"/>
    </row>
    <row r="203" spans="3:6" ht="15.75" customHeight="1" x14ac:dyDescent="0.25">
      <c r="C203" s="9"/>
      <c r="D203" s="9"/>
      <c r="F203" s="9"/>
    </row>
    <row r="204" spans="3:6" ht="15.75" customHeight="1" x14ac:dyDescent="0.25">
      <c r="C204" s="9"/>
      <c r="D204" s="9"/>
      <c r="F204" s="9"/>
    </row>
    <row r="205" spans="3:6" ht="15.75" customHeight="1" x14ac:dyDescent="0.25">
      <c r="C205" s="9"/>
      <c r="D205" s="9"/>
      <c r="F205" s="9"/>
    </row>
    <row r="206" spans="3:6" ht="15.75" customHeight="1" x14ac:dyDescent="0.25">
      <c r="C206" s="9"/>
      <c r="D206" s="9"/>
      <c r="F206" s="9"/>
    </row>
    <row r="207" spans="3:6" ht="15.75" customHeight="1" x14ac:dyDescent="0.25">
      <c r="C207" s="9"/>
      <c r="D207" s="9"/>
      <c r="F207" s="9"/>
    </row>
    <row r="208" spans="3:6" ht="15.75" customHeight="1" x14ac:dyDescent="0.25">
      <c r="C208" s="9"/>
      <c r="D208" s="9"/>
      <c r="F208" s="9"/>
    </row>
    <row r="209" spans="3:6" ht="15.75" customHeight="1" x14ac:dyDescent="0.25">
      <c r="C209" s="9"/>
      <c r="D209" s="9"/>
      <c r="F209" s="9"/>
    </row>
    <row r="210" spans="3:6" ht="15.75" customHeight="1" x14ac:dyDescent="0.25">
      <c r="C210" s="9"/>
      <c r="D210" s="9"/>
      <c r="F210" s="9"/>
    </row>
    <row r="211" spans="3:6" ht="15.75" customHeight="1" x14ac:dyDescent="0.25">
      <c r="C211" s="9"/>
      <c r="D211" s="9"/>
      <c r="F211" s="9"/>
    </row>
    <row r="212" spans="3:6" ht="15.75" customHeight="1" x14ac:dyDescent="0.25">
      <c r="C212" s="9"/>
      <c r="D212" s="9"/>
      <c r="F212" s="9"/>
    </row>
    <row r="213" spans="3:6" ht="15.75" customHeight="1" x14ac:dyDescent="0.25">
      <c r="C213" s="9"/>
      <c r="D213" s="9"/>
      <c r="F213" s="9"/>
    </row>
    <row r="214" spans="3:6" ht="15.75" customHeight="1" x14ac:dyDescent="0.25">
      <c r="C214" s="9"/>
      <c r="D214" s="9"/>
      <c r="F214" s="9"/>
    </row>
    <row r="215" spans="3:6" ht="15.75" customHeight="1" x14ac:dyDescent="0.25">
      <c r="C215" s="9"/>
      <c r="D215" s="9"/>
      <c r="F215" s="9"/>
    </row>
    <row r="216" spans="3:6" ht="15.75" customHeight="1" x14ac:dyDescent="0.25">
      <c r="C216" s="9"/>
      <c r="D216" s="9"/>
      <c r="F216" s="9"/>
    </row>
    <row r="217" spans="3:6" ht="15.75" customHeight="1" x14ac:dyDescent="0.25">
      <c r="C217" s="9"/>
      <c r="D217" s="9"/>
      <c r="F217" s="9"/>
    </row>
    <row r="218" spans="3:6" ht="15.75" customHeight="1" x14ac:dyDescent="0.25">
      <c r="C218" s="9"/>
      <c r="D218" s="9"/>
      <c r="F218" s="9"/>
    </row>
    <row r="219" spans="3:6" ht="15.75" customHeight="1" x14ac:dyDescent="0.25">
      <c r="C219" s="9"/>
      <c r="D219" s="9"/>
      <c r="F219" s="9"/>
    </row>
    <row r="220" spans="3:6" ht="15.75" customHeight="1" x14ac:dyDescent="0.25">
      <c r="C220" s="9"/>
      <c r="D220" s="9"/>
      <c r="F220" s="9"/>
    </row>
    <row r="221" spans="3:6" ht="15.75" customHeight="1" x14ac:dyDescent="0.25">
      <c r="C221" s="9"/>
      <c r="D221" s="9"/>
      <c r="F221" s="9"/>
    </row>
    <row r="222" spans="3:6" ht="15.75" customHeight="1" x14ac:dyDescent="0.25">
      <c r="C222" s="9"/>
      <c r="D222" s="9"/>
      <c r="F222" s="9"/>
    </row>
    <row r="223" spans="3:6" ht="15.75" customHeight="1" x14ac:dyDescent="0.25">
      <c r="C223" s="9"/>
      <c r="D223" s="9"/>
      <c r="F223" s="9"/>
    </row>
    <row r="224" spans="3:6" ht="15.75" customHeight="1" x14ac:dyDescent="0.25">
      <c r="C224" s="9"/>
      <c r="D224" s="9"/>
      <c r="F224" s="9"/>
    </row>
    <row r="225" spans="3:6" ht="15.75" customHeight="1" x14ac:dyDescent="0.25">
      <c r="C225" s="9"/>
      <c r="D225" s="9"/>
      <c r="F225" s="9"/>
    </row>
    <row r="226" spans="3:6" ht="15.75" customHeight="1" x14ac:dyDescent="0.25">
      <c r="C226" s="9"/>
      <c r="D226" s="9"/>
      <c r="F226" s="9"/>
    </row>
    <row r="227" spans="3:6" ht="15.75" customHeight="1" x14ac:dyDescent="0.25">
      <c r="C227" s="9"/>
      <c r="D227" s="9"/>
      <c r="F227" s="9"/>
    </row>
    <row r="228" spans="3:6" ht="15.75" customHeight="1" x14ac:dyDescent="0.25">
      <c r="C228" s="9"/>
      <c r="D228" s="9"/>
      <c r="F228" s="9"/>
    </row>
    <row r="229" spans="3:6" ht="15.75" customHeight="1" x14ac:dyDescent="0.25">
      <c r="C229" s="9"/>
      <c r="D229" s="9"/>
      <c r="F229" s="9"/>
    </row>
    <row r="230" spans="3:6" ht="15.75" customHeight="1" x14ac:dyDescent="0.25">
      <c r="C230" s="9"/>
      <c r="D230" s="9"/>
      <c r="F230" s="9"/>
    </row>
    <row r="231" spans="3:6" ht="15.75" customHeight="1" x14ac:dyDescent="0.25"/>
    <row r="232" spans="3:6" ht="15.75" customHeight="1" x14ac:dyDescent="0.25"/>
    <row r="233" spans="3:6" ht="15.75" customHeight="1" x14ac:dyDescent="0.25"/>
    <row r="234" spans="3:6" ht="15.75" customHeight="1" x14ac:dyDescent="0.25"/>
    <row r="235" spans="3:6" ht="15.75" customHeight="1" x14ac:dyDescent="0.25"/>
    <row r="236" spans="3:6" ht="15.75" customHeight="1" x14ac:dyDescent="0.25"/>
    <row r="237" spans="3:6" ht="15.75" customHeight="1" x14ac:dyDescent="0.25"/>
    <row r="238" spans="3:6" ht="15.75" customHeight="1" x14ac:dyDescent="0.25"/>
    <row r="239" spans="3:6" ht="15.75" customHeight="1" x14ac:dyDescent="0.25"/>
    <row r="240" spans="3:6"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E1"/>
    </sheetView>
  </sheetViews>
  <sheetFormatPr defaultColWidth="11.25" defaultRowHeight="15" customHeight="1" x14ac:dyDescent="0.25"/>
  <cols>
    <col min="1" max="1" width="9.625" customWidth="1"/>
    <col min="2" max="2" width="43.375" customWidth="1"/>
    <col min="3" max="3" width="16.875" customWidth="1"/>
    <col min="4" max="4" width="15.875" customWidth="1"/>
    <col min="5" max="5" width="18.125" customWidth="1"/>
    <col min="6" max="7" width="11.125" customWidth="1"/>
    <col min="8" max="8" width="15.5" customWidth="1"/>
    <col min="9" max="9" width="20.375" customWidth="1"/>
    <col min="10" max="10" width="11.125" customWidth="1"/>
    <col min="11" max="26" width="15.125" customWidth="1"/>
  </cols>
  <sheetData>
    <row r="1" spans="1:26" ht="29.25" customHeight="1" x14ac:dyDescent="0.25">
      <c r="A1" s="340" t="s">
        <v>4</v>
      </c>
      <c r="B1" s="301"/>
      <c r="C1" s="301"/>
      <c r="D1" s="301"/>
      <c r="E1" s="301"/>
    </row>
    <row r="2" spans="1:26" ht="15.75" customHeight="1" x14ac:dyDescent="0.25"/>
    <row r="3" spans="1:26" ht="15.75" customHeight="1" x14ac:dyDescent="0.25">
      <c r="C3" s="2"/>
    </row>
    <row r="4" spans="1:26" ht="65.25" customHeight="1" x14ac:dyDescent="0.25">
      <c r="A4" s="6" t="s">
        <v>6</v>
      </c>
      <c r="B4" s="5" t="s">
        <v>8</v>
      </c>
      <c r="C4" s="18" t="s">
        <v>23</v>
      </c>
      <c r="D4" s="14" t="s">
        <v>24</v>
      </c>
      <c r="E4" s="14" t="s">
        <v>25</v>
      </c>
      <c r="G4" s="19"/>
      <c r="H4" s="23"/>
      <c r="I4" s="23"/>
      <c r="J4" s="2"/>
    </row>
    <row r="5" spans="1:26" ht="31.5" customHeight="1" x14ac:dyDescent="0.25">
      <c r="A5" s="306" t="s">
        <v>21</v>
      </c>
      <c r="B5" s="16" t="s">
        <v>22</v>
      </c>
      <c r="C5" s="21">
        <f>1841+142</f>
        <v>1983</v>
      </c>
      <c r="D5" s="26">
        <f t="shared" ref="D5:D25" si="0">C5/$D$31</f>
        <v>0.19729380161177992</v>
      </c>
      <c r="E5" s="28">
        <f t="shared" ref="E5:E25" si="1">ROUND(D5*$D$32,0)</f>
        <v>100</v>
      </c>
      <c r="G5" s="29"/>
      <c r="H5" s="31"/>
      <c r="I5" s="32"/>
      <c r="J5" s="2"/>
    </row>
    <row r="6" spans="1:26" ht="15.75" customHeight="1" x14ac:dyDescent="0.25">
      <c r="A6" s="305"/>
      <c r="B6" s="33" t="s">
        <v>27</v>
      </c>
      <c r="C6" s="45">
        <v>0</v>
      </c>
      <c r="D6" s="50">
        <f t="shared" si="0"/>
        <v>0</v>
      </c>
      <c r="E6" s="28">
        <f t="shared" si="1"/>
        <v>0</v>
      </c>
      <c r="G6" s="29"/>
      <c r="H6" s="31"/>
      <c r="I6" s="32"/>
      <c r="J6" s="2"/>
    </row>
    <row r="7" spans="1:26" ht="15.75" customHeight="1" x14ac:dyDescent="0.25">
      <c r="A7" s="305"/>
      <c r="B7" s="33" t="s">
        <v>28</v>
      </c>
      <c r="C7" s="45">
        <v>0</v>
      </c>
      <c r="D7" s="50">
        <f t="shared" si="0"/>
        <v>0</v>
      </c>
      <c r="E7" s="28">
        <f t="shared" si="1"/>
        <v>0</v>
      </c>
      <c r="G7" s="29"/>
      <c r="H7" s="31"/>
      <c r="I7" s="32"/>
      <c r="J7" s="2"/>
    </row>
    <row r="8" spans="1:26" ht="18" customHeight="1" x14ac:dyDescent="0.25">
      <c r="A8" s="305"/>
      <c r="B8" s="39" t="s">
        <v>29</v>
      </c>
      <c r="C8" s="45">
        <v>0</v>
      </c>
      <c r="D8" s="50">
        <f t="shared" si="0"/>
        <v>0</v>
      </c>
      <c r="E8" s="28">
        <f t="shared" si="1"/>
        <v>0</v>
      </c>
      <c r="G8" s="29"/>
      <c r="H8" s="31"/>
      <c r="I8" s="32"/>
      <c r="J8" s="2"/>
    </row>
    <row r="9" spans="1:26" ht="15.75" customHeight="1" x14ac:dyDescent="0.25">
      <c r="A9" s="305"/>
      <c r="B9" s="43" t="s">
        <v>31</v>
      </c>
      <c r="C9" s="53">
        <f>501+60</f>
        <v>561</v>
      </c>
      <c r="D9" s="55">
        <f t="shared" si="0"/>
        <v>5.5815341757039102E-2</v>
      </c>
      <c r="E9" s="57">
        <f t="shared" si="1"/>
        <v>28</v>
      </c>
      <c r="F9" s="2"/>
      <c r="G9" s="29"/>
      <c r="H9" s="31"/>
      <c r="I9" s="32"/>
      <c r="J9" s="2"/>
      <c r="K9" s="2"/>
      <c r="L9" s="2"/>
      <c r="M9" s="2"/>
      <c r="N9" s="2"/>
      <c r="O9" s="2"/>
      <c r="P9" s="2"/>
      <c r="Q9" s="2"/>
      <c r="R9" s="2"/>
      <c r="S9" s="2"/>
      <c r="T9" s="2"/>
      <c r="U9" s="2"/>
      <c r="V9" s="2"/>
      <c r="W9" s="2"/>
      <c r="X9" s="2"/>
      <c r="Y9" s="2"/>
      <c r="Z9" s="2"/>
    </row>
    <row r="10" spans="1:26" ht="15.75" customHeight="1" x14ac:dyDescent="0.25">
      <c r="A10" s="305"/>
      <c r="B10" s="39" t="s">
        <v>32</v>
      </c>
      <c r="C10" s="52">
        <v>93</v>
      </c>
      <c r="D10" s="44">
        <f t="shared" si="0"/>
        <v>9.252810665605413E-3</v>
      </c>
      <c r="E10" s="28">
        <f t="shared" si="1"/>
        <v>5</v>
      </c>
      <c r="G10" s="2"/>
      <c r="H10" s="31"/>
      <c r="I10" s="32"/>
      <c r="J10" s="2"/>
    </row>
    <row r="11" spans="1:26" ht="15.75" customHeight="1" x14ac:dyDescent="0.25">
      <c r="A11" s="305"/>
      <c r="B11" s="39" t="s">
        <v>33</v>
      </c>
      <c r="C11" s="52">
        <v>4</v>
      </c>
      <c r="D11" s="44">
        <f t="shared" si="0"/>
        <v>3.9797035120883495E-4</v>
      </c>
      <c r="E11" s="28">
        <f t="shared" si="1"/>
        <v>0</v>
      </c>
      <c r="G11" s="2"/>
      <c r="H11" s="31"/>
      <c r="I11" s="32"/>
      <c r="J11" s="2"/>
    </row>
    <row r="12" spans="1:26" ht="15.75" customHeight="1" x14ac:dyDescent="0.25">
      <c r="A12" s="305"/>
      <c r="B12" s="33" t="s">
        <v>38</v>
      </c>
      <c r="C12" s="52">
        <v>0</v>
      </c>
      <c r="D12" s="50">
        <f t="shared" si="0"/>
        <v>0</v>
      </c>
      <c r="E12" s="28">
        <f t="shared" si="1"/>
        <v>0</v>
      </c>
      <c r="G12" s="2"/>
      <c r="H12" s="31"/>
      <c r="I12" s="32"/>
      <c r="J12" s="2"/>
    </row>
    <row r="13" spans="1:26" ht="15.75" customHeight="1" x14ac:dyDescent="0.25">
      <c r="A13" s="305"/>
      <c r="B13" s="33" t="s">
        <v>35</v>
      </c>
      <c r="C13" s="66">
        <v>315</v>
      </c>
      <c r="D13" s="44">
        <f t="shared" si="0"/>
        <v>3.1340165157695749E-2</v>
      </c>
      <c r="E13" s="28">
        <f t="shared" si="1"/>
        <v>16</v>
      </c>
      <c r="F13" s="2"/>
      <c r="G13" s="67"/>
      <c r="H13" s="31"/>
      <c r="I13" s="32"/>
      <c r="J13" s="2"/>
      <c r="K13" s="2"/>
      <c r="L13" s="2"/>
      <c r="M13" s="2"/>
      <c r="N13" s="2"/>
      <c r="O13" s="2"/>
      <c r="P13" s="2"/>
      <c r="Q13" s="2"/>
      <c r="R13" s="2"/>
      <c r="S13" s="2"/>
      <c r="T13" s="2"/>
      <c r="U13" s="2"/>
      <c r="V13" s="2"/>
      <c r="W13" s="2"/>
      <c r="X13" s="2"/>
      <c r="Y13" s="2"/>
      <c r="Z13" s="2"/>
    </row>
    <row r="14" spans="1:26" ht="15.75" customHeight="1" x14ac:dyDescent="0.25">
      <c r="A14" s="305"/>
      <c r="B14" s="39" t="s">
        <v>36</v>
      </c>
      <c r="C14" s="68">
        <v>1007</v>
      </c>
      <c r="D14" s="55">
        <f t="shared" si="0"/>
        <v>0.1001890359168242</v>
      </c>
      <c r="E14" s="57">
        <f t="shared" si="1"/>
        <v>51</v>
      </c>
      <c r="G14" s="29"/>
      <c r="H14" s="31"/>
      <c r="I14" s="32"/>
      <c r="J14" s="2"/>
    </row>
    <row r="15" spans="1:26" ht="18.75" customHeight="1" x14ac:dyDescent="0.25">
      <c r="A15" s="305"/>
      <c r="B15" s="58" t="s">
        <v>37</v>
      </c>
      <c r="C15" s="70">
        <v>654</v>
      </c>
      <c r="D15" s="71">
        <f t="shared" si="0"/>
        <v>6.5068152422644507E-2</v>
      </c>
      <c r="E15" s="72">
        <f t="shared" si="1"/>
        <v>33</v>
      </c>
      <c r="G15" s="29"/>
      <c r="H15" s="31"/>
      <c r="I15" s="32"/>
      <c r="J15" s="2"/>
    </row>
    <row r="16" spans="1:26" ht="15.75" customHeight="1" x14ac:dyDescent="0.25">
      <c r="A16" s="313" t="s">
        <v>39</v>
      </c>
      <c r="B16" s="69" t="s">
        <v>40</v>
      </c>
      <c r="C16" s="74">
        <v>255</v>
      </c>
      <c r="D16" s="26">
        <f t="shared" si="0"/>
        <v>2.5370609889563227E-2</v>
      </c>
      <c r="E16" s="28">
        <f t="shared" si="1"/>
        <v>13</v>
      </c>
      <c r="G16" s="2"/>
      <c r="H16" s="31"/>
      <c r="I16" s="32"/>
      <c r="J16" s="2"/>
    </row>
    <row r="17" spans="1:10" ht="15.75" customHeight="1" x14ac:dyDescent="0.25">
      <c r="A17" s="314"/>
      <c r="B17" s="39" t="s">
        <v>41</v>
      </c>
      <c r="C17" s="52">
        <v>0</v>
      </c>
      <c r="D17" s="50">
        <f t="shared" si="0"/>
        <v>0</v>
      </c>
      <c r="E17" s="28">
        <f t="shared" si="1"/>
        <v>0</v>
      </c>
      <c r="G17" s="2"/>
      <c r="H17" s="31"/>
      <c r="I17" s="32"/>
      <c r="J17" s="2"/>
    </row>
    <row r="18" spans="1:10" ht="15.75" customHeight="1" x14ac:dyDescent="0.25">
      <c r="A18" s="314"/>
      <c r="B18" s="39" t="s">
        <v>42</v>
      </c>
      <c r="C18" s="52">
        <v>149</v>
      </c>
      <c r="D18" s="44">
        <f t="shared" si="0"/>
        <v>1.4824395582529102E-2</v>
      </c>
      <c r="E18" s="28">
        <f t="shared" si="1"/>
        <v>8</v>
      </c>
      <c r="G18" s="2"/>
      <c r="H18" s="31"/>
      <c r="I18" s="32"/>
      <c r="J18" s="2"/>
    </row>
    <row r="19" spans="1:10" ht="15.75" customHeight="1" x14ac:dyDescent="0.25">
      <c r="A19" s="314"/>
      <c r="B19" s="33" t="s">
        <v>43</v>
      </c>
      <c r="C19" s="52">
        <v>1443</v>
      </c>
      <c r="D19" s="44">
        <f t="shared" si="0"/>
        <v>0.1435678041985872</v>
      </c>
      <c r="E19" s="28">
        <f t="shared" si="1"/>
        <v>73</v>
      </c>
      <c r="G19" s="2"/>
      <c r="H19" s="31"/>
      <c r="I19" s="32"/>
      <c r="J19" s="2"/>
    </row>
    <row r="20" spans="1:10" ht="15.75" customHeight="1" x14ac:dyDescent="0.25">
      <c r="A20" s="314"/>
      <c r="B20" s="33" t="s">
        <v>44</v>
      </c>
      <c r="C20" s="52">
        <v>73</v>
      </c>
      <c r="D20" s="44">
        <f t="shared" si="0"/>
        <v>7.2629589095612379E-3</v>
      </c>
      <c r="E20" s="28">
        <f t="shared" si="1"/>
        <v>4</v>
      </c>
      <c r="G20" s="2"/>
      <c r="H20" s="31"/>
      <c r="I20" s="32"/>
      <c r="J20" s="2"/>
    </row>
    <row r="21" spans="1:10" ht="15.75" customHeight="1" x14ac:dyDescent="0.25">
      <c r="A21" s="314"/>
      <c r="B21" s="33" t="s">
        <v>45</v>
      </c>
      <c r="C21" s="52">
        <v>0</v>
      </c>
      <c r="D21" s="50">
        <f t="shared" si="0"/>
        <v>0</v>
      </c>
      <c r="E21" s="28">
        <f t="shared" si="1"/>
        <v>0</v>
      </c>
      <c r="G21" s="2"/>
      <c r="H21" s="31"/>
      <c r="I21" s="32"/>
      <c r="J21" s="2"/>
    </row>
    <row r="22" spans="1:10" ht="15.75" customHeight="1" x14ac:dyDescent="0.25">
      <c r="A22" s="314"/>
      <c r="B22" s="33" t="s">
        <v>46</v>
      </c>
      <c r="C22" s="52">
        <v>1234</v>
      </c>
      <c r="D22" s="44">
        <f t="shared" si="0"/>
        <v>0.12277385334792558</v>
      </c>
      <c r="E22" s="28">
        <f t="shared" si="1"/>
        <v>62</v>
      </c>
      <c r="G22" s="2"/>
      <c r="H22" s="31"/>
      <c r="I22" s="32"/>
      <c r="J22" s="2"/>
    </row>
    <row r="23" spans="1:10" ht="15.75" customHeight="1" x14ac:dyDescent="0.25">
      <c r="A23" s="314"/>
      <c r="B23" s="33" t="s">
        <v>47</v>
      </c>
      <c r="C23" s="45">
        <v>12</v>
      </c>
      <c r="D23" s="44">
        <f t="shared" si="0"/>
        <v>1.1939110536265049E-3</v>
      </c>
      <c r="E23" s="28">
        <f t="shared" si="1"/>
        <v>1</v>
      </c>
      <c r="G23" s="29"/>
      <c r="H23" s="31"/>
      <c r="I23" s="32"/>
      <c r="J23" s="2"/>
    </row>
    <row r="24" spans="1:10" ht="15.75" customHeight="1" x14ac:dyDescent="0.25">
      <c r="A24" s="314"/>
      <c r="B24" s="33" t="s">
        <v>48</v>
      </c>
      <c r="C24" s="53">
        <v>213</v>
      </c>
      <c r="D24" s="55">
        <f t="shared" si="0"/>
        <v>2.119192120187046E-2</v>
      </c>
      <c r="E24" s="75">
        <f t="shared" si="1"/>
        <v>11</v>
      </c>
      <c r="G24" s="29"/>
      <c r="H24" s="31"/>
      <c r="I24" s="32"/>
      <c r="J24" s="2"/>
    </row>
    <row r="25" spans="1:10" ht="15.75" customHeight="1" x14ac:dyDescent="0.25">
      <c r="A25" s="315"/>
      <c r="B25" s="76" t="s">
        <v>49</v>
      </c>
      <c r="C25" s="70">
        <v>0</v>
      </c>
      <c r="D25" s="77">
        <f t="shared" si="0"/>
        <v>0</v>
      </c>
      <c r="E25" s="72">
        <f t="shared" si="1"/>
        <v>0</v>
      </c>
      <c r="G25" s="29"/>
      <c r="H25" s="31"/>
      <c r="I25" s="32"/>
      <c r="J25" s="2"/>
    </row>
    <row r="26" spans="1:10" ht="15.75" customHeight="1" x14ac:dyDescent="0.25">
      <c r="G26" s="2"/>
      <c r="H26" s="2"/>
      <c r="I26" s="2"/>
      <c r="J26" s="2"/>
    </row>
    <row r="27" spans="1:10" ht="15.75" customHeight="1" x14ac:dyDescent="0.25">
      <c r="E27" s="9"/>
      <c r="G27" s="2"/>
      <c r="H27" s="2"/>
      <c r="I27" s="2"/>
      <c r="J27" s="2"/>
    </row>
    <row r="28" spans="1:10" ht="15.75" customHeight="1" x14ac:dyDescent="0.25">
      <c r="A28" s="78" t="s">
        <v>50</v>
      </c>
      <c r="B28" s="79"/>
      <c r="C28" s="79"/>
      <c r="D28" s="79"/>
      <c r="E28" s="80"/>
      <c r="G28" s="2"/>
      <c r="H28" s="2"/>
      <c r="I28" s="2"/>
      <c r="J28" s="2"/>
    </row>
    <row r="29" spans="1:10" ht="15.75" customHeight="1" x14ac:dyDescent="0.25">
      <c r="A29" s="79" t="s">
        <v>51</v>
      </c>
      <c r="B29" s="79"/>
      <c r="C29" s="79"/>
      <c r="D29" s="79"/>
      <c r="E29" s="80"/>
      <c r="G29" s="2"/>
      <c r="H29" s="2"/>
      <c r="I29" s="2"/>
      <c r="J29" s="2"/>
    </row>
    <row r="30" spans="1:10" ht="15.75" customHeight="1" x14ac:dyDescent="0.25">
      <c r="A30" s="79" t="s">
        <v>52</v>
      </c>
      <c r="B30" s="79"/>
      <c r="C30" s="79"/>
      <c r="D30" s="79"/>
      <c r="E30" s="80"/>
      <c r="G30" s="2"/>
      <c r="H30" s="2"/>
      <c r="I30" s="2"/>
      <c r="J30" s="2"/>
    </row>
    <row r="31" spans="1:10" ht="15.75" customHeight="1" x14ac:dyDescent="0.25">
      <c r="A31" s="316" t="s">
        <v>53</v>
      </c>
      <c r="B31" s="338"/>
      <c r="C31" s="339"/>
      <c r="D31" s="81">
        <v>10051</v>
      </c>
      <c r="E31" s="9"/>
    </row>
    <row r="32" spans="1:10" ht="15.75" customHeight="1" x14ac:dyDescent="0.25">
      <c r="A32" s="316" t="s">
        <v>54</v>
      </c>
      <c r="B32" s="311"/>
      <c r="C32" s="312"/>
      <c r="D32" s="81">
        <v>507</v>
      </c>
      <c r="E32" s="9"/>
    </row>
    <row r="33" spans="5:5" ht="15.75" customHeight="1" x14ac:dyDescent="0.25">
      <c r="E33" s="9"/>
    </row>
    <row r="34" spans="5:5" ht="15.75" customHeight="1" x14ac:dyDescent="0.25">
      <c r="E34" s="9"/>
    </row>
    <row r="35" spans="5:5" ht="15.75" customHeight="1" x14ac:dyDescent="0.25">
      <c r="E35" s="9"/>
    </row>
    <row r="36" spans="5:5" ht="15.75" customHeight="1" x14ac:dyDescent="0.25">
      <c r="E36" s="9"/>
    </row>
    <row r="37" spans="5:5" ht="15.75" customHeight="1" x14ac:dyDescent="0.25">
      <c r="E37" s="9"/>
    </row>
    <row r="38" spans="5:5" ht="15.75" customHeight="1" x14ac:dyDescent="0.25">
      <c r="E38" s="9"/>
    </row>
    <row r="39" spans="5:5" ht="15.75" customHeight="1" x14ac:dyDescent="0.25">
      <c r="E39" s="9"/>
    </row>
    <row r="40" spans="5:5" ht="15.75" customHeight="1" x14ac:dyDescent="0.25">
      <c r="E40" s="9"/>
    </row>
    <row r="41" spans="5:5" ht="15.75" customHeight="1" x14ac:dyDescent="0.25">
      <c r="E41" s="9"/>
    </row>
    <row r="42" spans="5:5" ht="15.75" customHeight="1" x14ac:dyDescent="0.25">
      <c r="E42" s="9"/>
    </row>
    <row r="43" spans="5:5" ht="15.75" customHeight="1" x14ac:dyDescent="0.25">
      <c r="E43" s="9"/>
    </row>
    <row r="44" spans="5:5" ht="15.75" customHeight="1" x14ac:dyDescent="0.25">
      <c r="E44" s="9"/>
    </row>
    <row r="45" spans="5:5" ht="15.75" customHeight="1" x14ac:dyDescent="0.25">
      <c r="E45" s="9"/>
    </row>
    <row r="46" spans="5:5" ht="15.75" customHeight="1" x14ac:dyDescent="0.25">
      <c r="E46" s="9"/>
    </row>
    <row r="47" spans="5:5" ht="15.75" customHeight="1" x14ac:dyDescent="0.25">
      <c r="E47" s="9"/>
    </row>
    <row r="48" spans="5:5" ht="15.75" customHeight="1" x14ac:dyDescent="0.25">
      <c r="E48" s="9"/>
    </row>
    <row r="49" spans="5:5" ht="15.75" customHeight="1" x14ac:dyDescent="0.25">
      <c r="E49" s="9"/>
    </row>
    <row r="50" spans="5:5" ht="15.75" customHeight="1" x14ac:dyDescent="0.25">
      <c r="E50" s="9"/>
    </row>
    <row r="51" spans="5:5" ht="15.75" customHeight="1" x14ac:dyDescent="0.25">
      <c r="E51" s="9"/>
    </row>
    <row r="52" spans="5:5" ht="15.75" customHeight="1" x14ac:dyDescent="0.25">
      <c r="E52" s="9"/>
    </row>
    <row r="53" spans="5:5" ht="15.75" customHeight="1" x14ac:dyDescent="0.25">
      <c r="E53" s="9"/>
    </row>
    <row r="54" spans="5:5" ht="15.75" customHeight="1" x14ac:dyDescent="0.25">
      <c r="E54" s="9"/>
    </row>
    <row r="55" spans="5:5" ht="15.75" customHeight="1" x14ac:dyDescent="0.25">
      <c r="E55" s="9"/>
    </row>
    <row r="56" spans="5:5" ht="15.75" customHeight="1" x14ac:dyDescent="0.25">
      <c r="E56" s="9"/>
    </row>
    <row r="57" spans="5:5" ht="15.75" customHeight="1" x14ac:dyDescent="0.25">
      <c r="E57" s="9"/>
    </row>
    <row r="58" spans="5:5" ht="15.75" customHeight="1" x14ac:dyDescent="0.25">
      <c r="E58" s="9"/>
    </row>
    <row r="59" spans="5:5" ht="15.75" customHeight="1" x14ac:dyDescent="0.25">
      <c r="E59" s="9"/>
    </row>
    <row r="60" spans="5:5" ht="15.75" customHeight="1" x14ac:dyDescent="0.25">
      <c r="E60" s="9"/>
    </row>
    <row r="61" spans="5:5" ht="15.75" customHeight="1" x14ac:dyDescent="0.25">
      <c r="E61" s="9"/>
    </row>
    <row r="62" spans="5:5" ht="15.75" customHeight="1" x14ac:dyDescent="0.25">
      <c r="E62" s="9"/>
    </row>
    <row r="63" spans="5:5" ht="15.75" customHeight="1" x14ac:dyDescent="0.25">
      <c r="E63" s="9"/>
    </row>
    <row r="64" spans="5:5" ht="15.75" customHeight="1" x14ac:dyDescent="0.25">
      <c r="E64" s="9"/>
    </row>
    <row r="65" spans="5:5" ht="15.75" customHeight="1" x14ac:dyDescent="0.25">
      <c r="E65" s="9"/>
    </row>
    <row r="66" spans="5:5" ht="15.75" customHeight="1" x14ac:dyDescent="0.25">
      <c r="E66" s="9"/>
    </row>
    <row r="67" spans="5:5" ht="15.75" customHeight="1" x14ac:dyDescent="0.25">
      <c r="E67" s="9"/>
    </row>
    <row r="68" spans="5:5" ht="15.75" customHeight="1" x14ac:dyDescent="0.25">
      <c r="E68" s="9"/>
    </row>
    <row r="69" spans="5:5" ht="15.75" customHeight="1" x14ac:dyDescent="0.25">
      <c r="E69" s="9"/>
    </row>
    <row r="70" spans="5:5" ht="15.75" customHeight="1" x14ac:dyDescent="0.25">
      <c r="E70" s="9"/>
    </row>
    <row r="71" spans="5:5" ht="15.75" customHeight="1" x14ac:dyDescent="0.25">
      <c r="E71" s="9"/>
    </row>
    <row r="72" spans="5:5" ht="15.75" customHeight="1" x14ac:dyDescent="0.25">
      <c r="E72" s="9"/>
    </row>
    <row r="73" spans="5:5" ht="15.75" customHeight="1" x14ac:dyDescent="0.25">
      <c r="E73" s="9"/>
    </row>
    <row r="74" spans="5:5" ht="15.75" customHeight="1" x14ac:dyDescent="0.25">
      <c r="E74" s="9"/>
    </row>
    <row r="75" spans="5:5" ht="15.75" customHeight="1" x14ac:dyDescent="0.25">
      <c r="E75" s="9"/>
    </row>
    <row r="76" spans="5:5" ht="15.75" customHeight="1" x14ac:dyDescent="0.25">
      <c r="E76" s="9"/>
    </row>
    <row r="77" spans="5:5" ht="15.75" customHeight="1" x14ac:dyDescent="0.25">
      <c r="E77" s="9"/>
    </row>
    <row r="78" spans="5:5" ht="15.75" customHeight="1" x14ac:dyDescent="0.25">
      <c r="E78" s="9"/>
    </row>
    <row r="79" spans="5:5" ht="15.75" customHeight="1" x14ac:dyDescent="0.25">
      <c r="E79" s="9"/>
    </row>
    <row r="80" spans="5:5" ht="15.75" customHeight="1" x14ac:dyDescent="0.25">
      <c r="E80" s="9"/>
    </row>
    <row r="81" spans="5:5" ht="15.75" customHeight="1" x14ac:dyDescent="0.25">
      <c r="E81" s="9"/>
    </row>
    <row r="82" spans="5:5" ht="15.75" customHeight="1" x14ac:dyDescent="0.25">
      <c r="E82" s="9"/>
    </row>
    <row r="83" spans="5:5" ht="15.75" customHeight="1" x14ac:dyDescent="0.25">
      <c r="E83" s="9"/>
    </row>
    <row r="84" spans="5:5" ht="15.75" customHeight="1" x14ac:dyDescent="0.25">
      <c r="E84" s="9"/>
    </row>
    <row r="85" spans="5:5" ht="15.75" customHeight="1" x14ac:dyDescent="0.25">
      <c r="E85" s="9"/>
    </row>
    <row r="86" spans="5:5" ht="15.75" customHeight="1" x14ac:dyDescent="0.25">
      <c r="E86" s="9"/>
    </row>
    <row r="87" spans="5:5" ht="15.75" customHeight="1" x14ac:dyDescent="0.25">
      <c r="E87" s="9"/>
    </row>
    <row r="88" spans="5:5" ht="15.75" customHeight="1" x14ac:dyDescent="0.25">
      <c r="E88" s="9"/>
    </row>
    <row r="89" spans="5:5" ht="15.75" customHeight="1" x14ac:dyDescent="0.25">
      <c r="E89" s="9"/>
    </row>
    <row r="90" spans="5:5" ht="15.75" customHeight="1" x14ac:dyDescent="0.25">
      <c r="E90" s="9"/>
    </row>
    <row r="91" spans="5:5" ht="15.75" customHeight="1" x14ac:dyDescent="0.25">
      <c r="E91" s="9"/>
    </row>
    <row r="92" spans="5:5" ht="15.75" customHeight="1" x14ac:dyDescent="0.25">
      <c r="E92" s="9"/>
    </row>
    <row r="93" spans="5:5" ht="15.75" customHeight="1" x14ac:dyDescent="0.25">
      <c r="E93" s="9"/>
    </row>
    <row r="94" spans="5:5" ht="15.75" customHeight="1" x14ac:dyDescent="0.25">
      <c r="E94" s="9"/>
    </row>
    <row r="95" spans="5:5" ht="15.75" customHeight="1" x14ac:dyDescent="0.25">
      <c r="E95" s="9"/>
    </row>
    <row r="96" spans="5:5" ht="15.75" customHeight="1" x14ac:dyDescent="0.25">
      <c r="E96" s="9"/>
    </row>
    <row r="97" spans="5:5" ht="15.75" customHeight="1" x14ac:dyDescent="0.25">
      <c r="E97" s="9"/>
    </row>
    <row r="98" spans="5:5" ht="15.75" customHeight="1" x14ac:dyDescent="0.25">
      <c r="E98" s="9"/>
    </row>
    <row r="99" spans="5:5" ht="15.75" customHeight="1" x14ac:dyDescent="0.25">
      <c r="E99" s="9"/>
    </row>
    <row r="100" spans="5:5" ht="15.75" customHeight="1" x14ac:dyDescent="0.25">
      <c r="E100" s="9"/>
    </row>
    <row r="101" spans="5:5" ht="15.75" customHeight="1" x14ac:dyDescent="0.25">
      <c r="E101" s="9"/>
    </row>
    <row r="102" spans="5:5" ht="15.75" customHeight="1" x14ac:dyDescent="0.25">
      <c r="E102" s="9"/>
    </row>
    <row r="103" spans="5:5" ht="15.75" customHeight="1" x14ac:dyDescent="0.25">
      <c r="E103" s="9"/>
    </row>
    <row r="104" spans="5:5" ht="15.75" customHeight="1" x14ac:dyDescent="0.25">
      <c r="E104" s="9"/>
    </row>
    <row r="105" spans="5:5" ht="15.75" customHeight="1" x14ac:dyDescent="0.25">
      <c r="E105" s="9"/>
    </row>
    <row r="106" spans="5:5" ht="15.75" customHeight="1" x14ac:dyDescent="0.25">
      <c r="E106" s="9"/>
    </row>
    <row r="107" spans="5:5" ht="15.75" customHeight="1" x14ac:dyDescent="0.25">
      <c r="E107" s="9"/>
    </row>
    <row r="108" spans="5:5" ht="15.75" customHeight="1" x14ac:dyDescent="0.25">
      <c r="E108" s="9"/>
    </row>
    <row r="109" spans="5:5" ht="15.75" customHeight="1" x14ac:dyDescent="0.25">
      <c r="E109" s="9"/>
    </row>
    <row r="110" spans="5:5" ht="15.75" customHeight="1" x14ac:dyDescent="0.25">
      <c r="E110" s="9"/>
    </row>
    <row r="111" spans="5:5" ht="15.75" customHeight="1" x14ac:dyDescent="0.25">
      <c r="E111" s="9"/>
    </row>
    <row r="112" spans="5:5" ht="15.75" customHeight="1" x14ac:dyDescent="0.25">
      <c r="E112" s="9"/>
    </row>
    <row r="113" spans="5:5" ht="15.75" customHeight="1" x14ac:dyDescent="0.25">
      <c r="E113" s="9"/>
    </row>
    <row r="114" spans="5:5" ht="15.75" customHeight="1" x14ac:dyDescent="0.25">
      <c r="E114" s="9"/>
    </row>
    <row r="115" spans="5:5" ht="15.75" customHeight="1" x14ac:dyDescent="0.25">
      <c r="E115" s="9"/>
    </row>
    <row r="116" spans="5:5" ht="15.75" customHeight="1" x14ac:dyDescent="0.25">
      <c r="E116" s="9"/>
    </row>
    <row r="117" spans="5:5" ht="15.75" customHeight="1" x14ac:dyDescent="0.25">
      <c r="E117" s="9"/>
    </row>
    <row r="118" spans="5:5" ht="15.75" customHeight="1" x14ac:dyDescent="0.25">
      <c r="E118" s="9"/>
    </row>
    <row r="119" spans="5:5" ht="15.75" customHeight="1" x14ac:dyDescent="0.25">
      <c r="E119" s="9"/>
    </row>
    <row r="120" spans="5:5" ht="15.75" customHeight="1" x14ac:dyDescent="0.25">
      <c r="E120" s="9"/>
    </row>
    <row r="121" spans="5:5" ht="15.75" customHeight="1" x14ac:dyDescent="0.25">
      <c r="E121" s="9"/>
    </row>
    <row r="122" spans="5:5" ht="15.75" customHeight="1" x14ac:dyDescent="0.25">
      <c r="E122" s="9"/>
    </row>
    <row r="123" spans="5:5" ht="15.75" customHeight="1" x14ac:dyDescent="0.25">
      <c r="E123" s="9"/>
    </row>
    <row r="124" spans="5:5" ht="15.75" customHeight="1" x14ac:dyDescent="0.25">
      <c r="E124" s="9"/>
    </row>
    <row r="125" spans="5:5" ht="15.75" customHeight="1" x14ac:dyDescent="0.25">
      <c r="E125" s="9"/>
    </row>
    <row r="126" spans="5:5" ht="15.75" customHeight="1" x14ac:dyDescent="0.25">
      <c r="E126" s="9"/>
    </row>
    <row r="127" spans="5:5" ht="15.75" customHeight="1" x14ac:dyDescent="0.25">
      <c r="E127" s="9"/>
    </row>
    <row r="128" spans="5:5" ht="15.75" customHeight="1" x14ac:dyDescent="0.25">
      <c r="E128" s="9"/>
    </row>
    <row r="129" spans="5:5" ht="15.75" customHeight="1" x14ac:dyDescent="0.25">
      <c r="E129" s="9"/>
    </row>
    <row r="130" spans="5:5" ht="15.75" customHeight="1" x14ac:dyDescent="0.25">
      <c r="E130" s="9"/>
    </row>
    <row r="131" spans="5:5" ht="15.75" customHeight="1" x14ac:dyDescent="0.25">
      <c r="E131" s="9"/>
    </row>
    <row r="132" spans="5:5" ht="15.75" customHeight="1" x14ac:dyDescent="0.25">
      <c r="E132" s="9"/>
    </row>
    <row r="133" spans="5:5" ht="15.75" customHeight="1" x14ac:dyDescent="0.25">
      <c r="E133" s="9"/>
    </row>
    <row r="134" spans="5:5" ht="15.75" customHeight="1" x14ac:dyDescent="0.25">
      <c r="E134" s="9"/>
    </row>
    <row r="135" spans="5:5" ht="15.75" customHeight="1" x14ac:dyDescent="0.25">
      <c r="E135" s="9"/>
    </row>
    <row r="136" spans="5:5" ht="15.75" customHeight="1" x14ac:dyDescent="0.25">
      <c r="E136" s="9"/>
    </row>
    <row r="137" spans="5:5" ht="15.75" customHeight="1" x14ac:dyDescent="0.25">
      <c r="E137" s="9"/>
    </row>
    <row r="138" spans="5:5" ht="15.75" customHeight="1" x14ac:dyDescent="0.25">
      <c r="E138" s="9"/>
    </row>
    <row r="139" spans="5:5" ht="15.75" customHeight="1" x14ac:dyDescent="0.25">
      <c r="E139" s="9"/>
    </row>
    <row r="140" spans="5:5" ht="15.75" customHeight="1" x14ac:dyDescent="0.25">
      <c r="E140" s="9"/>
    </row>
    <row r="141" spans="5:5" ht="15.75" customHeight="1" x14ac:dyDescent="0.25">
      <c r="E141" s="9"/>
    </row>
    <row r="142" spans="5:5" ht="15.75" customHeight="1" x14ac:dyDescent="0.25">
      <c r="E142" s="9"/>
    </row>
    <row r="143" spans="5:5" ht="15.75" customHeight="1" x14ac:dyDescent="0.25">
      <c r="E143" s="9"/>
    </row>
    <row r="144" spans="5:5" ht="15.75" customHeight="1" x14ac:dyDescent="0.25">
      <c r="E144" s="9"/>
    </row>
    <row r="145" spans="5:5" ht="15.75" customHeight="1" x14ac:dyDescent="0.25">
      <c r="E145" s="9"/>
    </row>
    <row r="146" spans="5:5" ht="15.75" customHeight="1" x14ac:dyDescent="0.25">
      <c r="E146" s="9"/>
    </row>
    <row r="147" spans="5:5" ht="15.75" customHeight="1" x14ac:dyDescent="0.25">
      <c r="E147" s="9"/>
    </row>
    <row r="148" spans="5:5" ht="15.75" customHeight="1" x14ac:dyDescent="0.25">
      <c r="E148" s="9"/>
    </row>
    <row r="149" spans="5:5" ht="15.75" customHeight="1" x14ac:dyDescent="0.25">
      <c r="E149" s="9"/>
    </row>
    <row r="150" spans="5:5" ht="15.75" customHeight="1" x14ac:dyDescent="0.25">
      <c r="E150" s="9"/>
    </row>
    <row r="151" spans="5:5" ht="15.75" customHeight="1" x14ac:dyDescent="0.25">
      <c r="E151" s="9"/>
    </row>
    <row r="152" spans="5:5" ht="15.75" customHeight="1" x14ac:dyDescent="0.25">
      <c r="E152" s="9"/>
    </row>
    <row r="153" spans="5:5" ht="15.75" customHeight="1" x14ac:dyDescent="0.25">
      <c r="E153" s="9"/>
    </row>
    <row r="154" spans="5:5" ht="15.75" customHeight="1" x14ac:dyDescent="0.25">
      <c r="E154" s="9"/>
    </row>
    <row r="155" spans="5:5" ht="15.75" customHeight="1" x14ac:dyDescent="0.25">
      <c r="E155" s="9"/>
    </row>
    <row r="156" spans="5:5" ht="15.75" customHeight="1" x14ac:dyDescent="0.25">
      <c r="E156" s="9"/>
    </row>
    <row r="157" spans="5:5" ht="15.75" customHeight="1" x14ac:dyDescent="0.25">
      <c r="E157" s="9"/>
    </row>
    <row r="158" spans="5:5" ht="15.75" customHeight="1" x14ac:dyDescent="0.25">
      <c r="E158" s="9"/>
    </row>
    <row r="159" spans="5:5" ht="15.75" customHeight="1" x14ac:dyDescent="0.25">
      <c r="E159" s="9"/>
    </row>
    <row r="160" spans="5:5" ht="15.75" customHeight="1" x14ac:dyDescent="0.25">
      <c r="E160" s="9"/>
    </row>
    <row r="161" spans="5:5" ht="15.75" customHeight="1" x14ac:dyDescent="0.25">
      <c r="E161" s="9"/>
    </row>
    <row r="162" spans="5:5" ht="15.75" customHeight="1" x14ac:dyDescent="0.25">
      <c r="E162" s="9"/>
    </row>
    <row r="163" spans="5:5" ht="15.75" customHeight="1" x14ac:dyDescent="0.25">
      <c r="E163" s="9"/>
    </row>
    <row r="164" spans="5:5" ht="15.75" customHeight="1" x14ac:dyDescent="0.25">
      <c r="E164" s="9"/>
    </row>
    <row r="165" spans="5:5" ht="15.75" customHeight="1" x14ac:dyDescent="0.25">
      <c r="E165" s="9"/>
    </row>
    <row r="166" spans="5:5" ht="15.75" customHeight="1" x14ac:dyDescent="0.25">
      <c r="E166" s="9"/>
    </row>
    <row r="167" spans="5:5" ht="15.75" customHeight="1" x14ac:dyDescent="0.25">
      <c r="E167" s="9"/>
    </row>
    <row r="168" spans="5:5" ht="15.75" customHeight="1" x14ac:dyDescent="0.25">
      <c r="E168" s="9"/>
    </row>
    <row r="169" spans="5:5" ht="15.75" customHeight="1" x14ac:dyDescent="0.25">
      <c r="E169" s="9"/>
    </row>
    <row r="170" spans="5:5" ht="15.75" customHeight="1" x14ac:dyDescent="0.25">
      <c r="E170" s="9"/>
    </row>
    <row r="171" spans="5:5" ht="15.75" customHeight="1" x14ac:dyDescent="0.25">
      <c r="E171" s="9"/>
    </row>
    <row r="172" spans="5:5" ht="15.75" customHeight="1" x14ac:dyDescent="0.25">
      <c r="E172" s="9"/>
    </row>
    <row r="173" spans="5:5" ht="15.75" customHeight="1" x14ac:dyDescent="0.25">
      <c r="E173" s="9"/>
    </row>
    <row r="174" spans="5:5" ht="15.75" customHeight="1" x14ac:dyDescent="0.25">
      <c r="E174" s="9"/>
    </row>
    <row r="175" spans="5:5" ht="15.75" customHeight="1" x14ac:dyDescent="0.25">
      <c r="E175" s="9"/>
    </row>
    <row r="176" spans="5:5" ht="15.75" customHeight="1" x14ac:dyDescent="0.25">
      <c r="E176" s="9"/>
    </row>
    <row r="177" spans="5:5" ht="15.75" customHeight="1" x14ac:dyDescent="0.25">
      <c r="E177" s="9"/>
    </row>
    <row r="178" spans="5:5" ht="15.75" customHeight="1" x14ac:dyDescent="0.25">
      <c r="E178" s="9"/>
    </row>
    <row r="179" spans="5:5" ht="15.75" customHeight="1" x14ac:dyDescent="0.25">
      <c r="E179" s="9"/>
    </row>
    <row r="180" spans="5:5" ht="15.75" customHeight="1" x14ac:dyDescent="0.25">
      <c r="E180" s="9"/>
    </row>
    <row r="181" spans="5:5" ht="15.75" customHeight="1" x14ac:dyDescent="0.25">
      <c r="E181" s="9"/>
    </row>
    <row r="182" spans="5:5" ht="15.75" customHeight="1" x14ac:dyDescent="0.25">
      <c r="E182" s="9"/>
    </row>
    <row r="183" spans="5:5" ht="15.75" customHeight="1" x14ac:dyDescent="0.25">
      <c r="E183" s="9"/>
    </row>
    <row r="184" spans="5:5" ht="15.75" customHeight="1" x14ac:dyDescent="0.25">
      <c r="E184" s="9"/>
    </row>
    <row r="185" spans="5:5" ht="15.75" customHeight="1" x14ac:dyDescent="0.25">
      <c r="E185" s="9"/>
    </row>
    <row r="186" spans="5:5" ht="15.75" customHeight="1" x14ac:dyDescent="0.25">
      <c r="E186" s="9"/>
    </row>
    <row r="187" spans="5:5" ht="15.75" customHeight="1" x14ac:dyDescent="0.25">
      <c r="E187" s="9"/>
    </row>
    <row r="188" spans="5:5" ht="15.75" customHeight="1" x14ac:dyDescent="0.25">
      <c r="E188" s="9"/>
    </row>
    <row r="189" spans="5:5" ht="15.75" customHeight="1" x14ac:dyDescent="0.25">
      <c r="E189" s="9"/>
    </row>
    <row r="190" spans="5:5" ht="15.75" customHeight="1" x14ac:dyDescent="0.25">
      <c r="E190" s="9"/>
    </row>
    <row r="191" spans="5:5" ht="15.75" customHeight="1" x14ac:dyDescent="0.25">
      <c r="E191" s="9"/>
    </row>
    <row r="192" spans="5:5" ht="15.75" customHeight="1" x14ac:dyDescent="0.25">
      <c r="E192" s="9"/>
    </row>
    <row r="193" spans="5:5" ht="15.75" customHeight="1" x14ac:dyDescent="0.25">
      <c r="E193" s="9"/>
    </row>
    <row r="194" spans="5:5" ht="15.75" customHeight="1" x14ac:dyDescent="0.25">
      <c r="E194" s="9"/>
    </row>
    <row r="195" spans="5:5" ht="15.75" customHeight="1" x14ac:dyDescent="0.25">
      <c r="E195" s="9"/>
    </row>
    <row r="196" spans="5:5" ht="15.75" customHeight="1" x14ac:dyDescent="0.25">
      <c r="E196" s="9"/>
    </row>
    <row r="197" spans="5:5" ht="15.75" customHeight="1" x14ac:dyDescent="0.25">
      <c r="E197" s="9"/>
    </row>
    <row r="198" spans="5:5" ht="15.75" customHeight="1" x14ac:dyDescent="0.25">
      <c r="E198" s="9"/>
    </row>
    <row r="199" spans="5:5" ht="15.75" customHeight="1" x14ac:dyDescent="0.25">
      <c r="E199" s="9"/>
    </row>
    <row r="200" spans="5:5" ht="15.75" customHeight="1" x14ac:dyDescent="0.25">
      <c r="E200" s="9"/>
    </row>
    <row r="201" spans="5:5" ht="15.75" customHeight="1" x14ac:dyDescent="0.25">
      <c r="E201" s="9"/>
    </row>
    <row r="202" spans="5:5" ht="15.75" customHeight="1" x14ac:dyDescent="0.25">
      <c r="E202" s="9"/>
    </row>
    <row r="203" spans="5:5" ht="15.75" customHeight="1" x14ac:dyDescent="0.25">
      <c r="E203" s="9"/>
    </row>
    <row r="204" spans="5:5" ht="15.75" customHeight="1" x14ac:dyDescent="0.25">
      <c r="E204" s="9"/>
    </row>
    <row r="205" spans="5:5" ht="15.75" customHeight="1" x14ac:dyDescent="0.25">
      <c r="E205" s="9"/>
    </row>
    <row r="206" spans="5:5" ht="15.75" customHeight="1" x14ac:dyDescent="0.25">
      <c r="E206" s="9"/>
    </row>
    <row r="207" spans="5:5" ht="15.75" customHeight="1" x14ac:dyDescent="0.25">
      <c r="E207" s="9"/>
    </row>
    <row r="208" spans="5:5" ht="15.75" customHeight="1" x14ac:dyDescent="0.25">
      <c r="E208" s="9"/>
    </row>
    <row r="209" spans="5:5" ht="15.75" customHeight="1" x14ac:dyDescent="0.25">
      <c r="E209" s="9"/>
    </row>
    <row r="210" spans="5:5" ht="15.75" customHeight="1" x14ac:dyDescent="0.25">
      <c r="E210" s="9"/>
    </row>
    <row r="211" spans="5:5" ht="15.75" customHeight="1" x14ac:dyDescent="0.25">
      <c r="E211" s="9"/>
    </row>
    <row r="212" spans="5:5" ht="15.75" customHeight="1" x14ac:dyDescent="0.25">
      <c r="E212" s="9"/>
    </row>
    <row r="213" spans="5:5" ht="15.75" customHeight="1" x14ac:dyDescent="0.25">
      <c r="E213" s="9"/>
    </row>
    <row r="214" spans="5:5" ht="15.75" customHeight="1" x14ac:dyDescent="0.25">
      <c r="E214" s="9"/>
    </row>
    <row r="215" spans="5:5" ht="15.75" customHeight="1" x14ac:dyDescent="0.25">
      <c r="E215" s="9"/>
    </row>
    <row r="216" spans="5:5" ht="15.75" customHeight="1" x14ac:dyDescent="0.25">
      <c r="E216" s="9"/>
    </row>
    <row r="217" spans="5:5" ht="15.75" customHeight="1" x14ac:dyDescent="0.25">
      <c r="E217" s="9"/>
    </row>
    <row r="218" spans="5:5" ht="15.75" customHeight="1" x14ac:dyDescent="0.25">
      <c r="E218" s="9"/>
    </row>
    <row r="219" spans="5:5" ht="15.75" customHeight="1" x14ac:dyDescent="0.25">
      <c r="E219" s="9"/>
    </row>
    <row r="220" spans="5:5" ht="15.75" customHeight="1" x14ac:dyDescent="0.25">
      <c r="E220" s="9"/>
    </row>
    <row r="221" spans="5:5" ht="15.75" customHeight="1" x14ac:dyDescent="0.25">
      <c r="E221" s="9"/>
    </row>
    <row r="222" spans="5:5" ht="15.75" customHeight="1" x14ac:dyDescent="0.25">
      <c r="E222" s="9"/>
    </row>
    <row r="223" spans="5:5" ht="15.75" customHeight="1" x14ac:dyDescent="0.25">
      <c r="E223" s="9"/>
    </row>
    <row r="224" spans="5:5" ht="15.75" customHeight="1" x14ac:dyDescent="0.25">
      <c r="E224" s="9"/>
    </row>
    <row r="225" spans="5:5" ht="15.75" customHeight="1" x14ac:dyDescent="0.25">
      <c r="E225" s="9"/>
    </row>
    <row r="226" spans="5:5" ht="15.75" customHeight="1" x14ac:dyDescent="0.25">
      <c r="E226" s="9"/>
    </row>
    <row r="227" spans="5:5" ht="15.75" customHeight="1" x14ac:dyDescent="0.25">
      <c r="E227" s="9"/>
    </row>
    <row r="228" spans="5:5" ht="15.75" customHeight="1" x14ac:dyDescent="0.25">
      <c r="E228" s="9"/>
    </row>
    <row r="229" spans="5:5" ht="15.75" customHeight="1" x14ac:dyDescent="0.25">
      <c r="E229" s="9"/>
    </row>
    <row r="230" spans="5:5" ht="15.75" customHeight="1" x14ac:dyDescent="0.25">
      <c r="E230" s="9"/>
    </row>
    <row r="231" spans="5:5" ht="15.75" customHeight="1" x14ac:dyDescent="0.25">
      <c r="E231" s="9"/>
    </row>
    <row r="232" spans="5:5" ht="15.75" customHeight="1" x14ac:dyDescent="0.25">
      <c r="E232" s="9"/>
    </row>
    <row r="233" spans="5:5" ht="15.75" customHeight="1" x14ac:dyDescent="0.25"/>
    <row r="234" spans="5:5" ht="15.75" customHeight="1" x14ac:dyDescent="0.25"/>
    <row r="235" spans="5:5" ht="15.75" customHeight="1" x14ac:dyDescent="0.25"/>
    <row r="236" spans="5:5" ht="15.75" customHeight="1" x14ac:dyDescent="0.25"/>
    <row r="237" spans="5:5" ht="15.75" customHeight="1" x14ac:dyDescent="0.25"/>
    <row r="238" spans="5:5" ht="15.75" customHeight="1" x14ac:dyDescent="0.25"/>
    <row r="239" spans="5:5" ht="15.75" customHeight="1" x14ac:dyDescent="0.25"/>
    <row r="240" spans="5: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scale="82"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6" workbookViewId="0">
      <selection activeCell="B15" sqref="B15:B24"/>
    </sheetView>
  </sheetViews>
  <sheetFormatPr defaultColWidth="11.25" defaultRowHeight="15" customHeight="1" x14ac:dyDescent="0.25"/>
  <cols>
    <col min="1" max="1" width="11.125" customWidth="1"/>
    <col min="2" max="2" width="9.625" customWidth="1"/>
    <col min="3" max="3" width="43.375" customWidth="1"/>
    <col min="4" max="4" width="10.375" customWidth="1"/>
    <col min="5" max="5" width="13.625" customWidth="1"/>
    <col min="6" max="6" width="11.125" customWidth="1"/>
    <col min="7" max="7" width="12.5" customWidth="1"/>
    <col min="8" max="8" width="13.25" customWidth="1"/>
    <col min="9" max="9" width="9" customWidth="1"/>
    <col min="10" max="10" width="9.75" hidden="1" customWidth="1"/>
    <col min="11" max="11" width="2.625" customWidth="1"/>
    <col min="12" max="12" width="15.25" customWidth="1"/>
    <col min="13" max="13" width="9" customWidth="1"/>
    <col min="14" max="14" width="16.875" hidden="1" customWidth="1"/>
    <col min="15" max="15" width="12.125" customWidth="1"/>
    <col min="16" max="16" width="16.625" hidden="1" customWidth="1"/>
    <col min="17" max="18" width="10.875" hidden="1" customWidth="1"/>
    <col min="19" max="19" width="14.875" customWidth="1"/>
    <col min="20" max="26" width="15.125" customWidth="1"/>
  </cols>
  <sheetData>
    <row r="1" spans="1:26" ht="30" customHeight="1" x14ac:dyDescent="0.25">
      <c r="A1" s="340" t="s">
        <v>55</v>
      </c>
      <c r="B1" s="301"/>
      <c r="C1" s="301"/>
      <c r="D1" s="301"/>
      <c r="E1" s="301"/>
      <c r="F1" s="301"/>
      <c r="G1" s="301"/>
      <c r="H1" s="301"/>
      <c r="I1" s="2"/>
      <c r="J1" s="2"/>
      <c r="K1" s="17"/>
      <c r="L1" s="17"/>
    </row>
    <row r="2" spans="1:26" ht="15.75" customHeight="1" x14ac:dyDescent="0.25">
      <c r="D2" s="9"/>
      <c r="I2" s="2"/>
      <c r="J2" s="2"/>
      <c r="K2" s="2"/>
      <c r="L2" s="2"/>
    </row>
    <row r="3" spans="1:26" ht="63.75" customHeight="1" x14ac:dyDescent="0.25">
      <c r="A3" s="5" t="s">
        <v>56</v>
      </c>
      <c r="B3" s="6" t="s">
        <v>6</v>
      </c>
      <c r="C3" s="5" t="s">
        <v>8</v>
      </c>
      <c r="D3" s="11" t="s">
        <v>57</v>
      </c>
      <c r="E3" s="5" t="s">
        <v>58</v>
      </c>
      <c r="F3" s="5" t="s">
        <v>59</v>
      </c>
      <c r="G3" s="82" t="s">
        <v>60</v>
      </c>
      <c r="H3" s="83" t="s">
        <v>61</v>
      </c>
      <c r="I3" s="84" t="s">
        <v>62</v>
      </c>
      <c r="J3" s="85" t="s">
        <v>63</v>
      </c>
      <c r="K3" s="86"/>
      <c r="L3" s="83" t="s">
        <v>64</v>
      </c>
      <c r="M3" s="84" t="s">
        <v>62</v>
      </c>
      <c r="N3" s="85" t="s">
        <v>63</v>
      </c>
      <c r="O3" s="23"/>
      <c r="P3" s="87" t="s">
        <v>65</v>
      </c>
      <c r="Q3" s="14" t="s">
        <v>66</v>
      </c>
      <c r="R3" s="14" t="s">
        <v>67</v>
      </c>
    </row>
    <row r="4" spans="1:26" ht="31.5" customHeight="1" x14ac:dyDescent="0.25">
      <c r="A4" s="341">
        <f>SUM(H4:H14)/H25</f>
        <v>0.7789412449098313</v>
      </c>
      <c r="B4" s="344" t="s">
        <v>21</v>
      </c>
      <c r="C4" s="16" t="s">
        <v>22</v>
      </c>
      <c r="D4" s="88">
        <f>'FY18 Average Cost per Client'!D5</f>
        <v>1775</v>
      </c>
      <c r="E4" s="89">
        <f>'Distribution of Cases by Svc'!E5</f>
        <v>100</v>
      </c>
      <c r="F4" s="88">
        <f t="shared" ref="F4:F24" si="0">SUM(D4:E4)</f>
        <v>1875</v>
      </c>
      <c r="G4" s="90">
        <f>'FY18 Average Cost per Client'!E5</f>
        <v>1387</v>
      </c>
      <c r="H4" s="91">
        <f t="shared" ref="H4:H8" si="1">MROUND(F4*G4,10000)</f>
        <v>2600000</v>
      </c>
      <c r="I4" s="92">
        <f t="shared" ref="I4:I24" si="2">H4/$H$25</f>
        <v>0.30250145433391507</v>
      </c>
      <c r="J4" s="93">
        <f>MROUND(H4*'FY18 Allocations'!H5,10000)</f>
        <v>2050000</v>
      </c>
      <c r="K4" s="94"/>
      <c r="L4" s="91">
        <f t="shared" ref="L4:L24" si="3">SUM($L$25*M4)</f>
        <v>2575669.4447353105</v>
      </c>
      <c r="M4" s="92">
        <v>0.30100145433391501</v>
      </c>
      <c r="N4" s="93">
        <f>MROUND(H4*'FY18 Allocations'!H5,10000)</f>
        <v>2050000</v>
      </c>
      <c r="O4" s="30"/>
      <c r="P4" s="95">
        <f>'FY18 Allocations'!E5+'FY18 Allocations'!E31</f>
        <v>2461622.79</v>
      </c>
      <c r="Q4" s="20">
        <f t="shared" ref="Q4:Q7" si="4">H4-P4</f>
        <v>138377.20999999996</v>
      </c>
      <c r="R4" s="27">
        <f>Q4/P4</f>
        <v>5.6213815765005962E-2</v>
      </c>
    </row>
    <row r="5" spans="1:26" ht="15.75" customHeight="1" x14ac:dyDescent="0.25">
      <c r="A5" s="342"/>
      <c r="B5" s="342"/>
      <c r="C5" s="33" t="s">
        <v>27</v>
      </c>
      <c r="D5" s="88">
        <f>'FY18 Average Cost per Client'!D6</f>
        <v>0</v>
      </c>
      <c r="E5" s="89">
        <f>'Distribution of Cases by Svc'!E6</f>
        <v>0</v>
      </c>
      <c r="F5" s="88">
        <f t="shared" si="0"/>
        <v>0</v>
      </c>
      <c r="G5" s="90">
        <f>'FY18 Average Cost per Client'!E6</f>
        <v>0</v>
      </c>
      <c r="H5" s="96">
        <f t="shared" si="1"/>
        <v>0</v>
      </c>
      <c r="I5" s="92">
        <f t="shared" si="2"/>
        <v>0</v>
      </c>
      <c r="J5" s="93">
        <f t="shared" ref="J5:J7" si="5">H5</f>
        <v>0</v>
      </c>
      <c r="K5" s="97"/>
      <c r="L5" s="91">
        <f t="shared" si="3"/>
        <v>0</v>
      </c>
      <c r="M5" s="92">
        <v>0</v>
      </c>
      <c r="N5" s="93">
        <f t="shared" ref="N5:N6" si="6">H5</f>
        <v>0</v>
      </c>
      <c r="O5" s="30"/>
      <c r="P5" s="98">
        <v>0</v>
      </c>
      <c r="Q5" s="38">
        <f t="shared" si="4"/>
        <v>0</v>
      </c>
      <c r="R5" s="37">
        <v>0</v>
      </c>
    </row>
    <row r="6" spans="1:26" ht="15.75" customHeight="1" x14ac:dyDescent="0.25">
      <c r="A6" s="342"/>
      <c r="B6" s="342"/>
      <c r="C6" s="99" t="s">
        <v>28</v>
      </c>
      <c r="D6" s="100">
        <f>'FY18 Average Cost per Client'!D7</f>
        <v>0</v>
      </c>
      <c r="E6" s="101">
        <f>'Distribution of Cases by Svc'!E7</f>
        <v>0</v>
      </c>
      <c r="F6" s="100">
        <f t="shared" si="0"/>
        <v>0</v>
      </c>
      <c r="G6" s="102">
        <f>'FY18 Average Cost per Client'!E7</f>
        <v>0</v>
      </c>
      <c r="H6" s="103">
        <f t="shared" si="1"/>
        <v>0</v>
      </c>
      <c r="I6" s="104">
        <f t="shared" si="2"/>
        <v>0</v>
      </c>
      <c r="J6" s="105">
        <f t="shared" si="5"/>
        <v>0</v>
      </c>
      <c r="K6" s="103"/>
      <c r="L6" s="91">
        <f t="shared" si="3"/>
        <v>0</v>
      </c>
      <c r="M6" s="104">
        <v>0</v>
      </c>
      <c r="N6" s="93">
        <f t="shared" si="6"/>
        <v>0</v>
      </c>
      <c r="O6" s="30"/>
      <c r="P6" s="98">
        <v>0</v>
      </c>
      <c r="Q6" s="38">
        <f t="shared" si="4"/>
        <v>0</v>
      </c>
      <c r="R6" s="37">
        <v>0</v>
      </c>
    </row>
    <row r="7" spans="1:26" ht="18" customHeight="1" x14ac:dyDescent="0.25">
      <c r="A7" s="342"/>
      <c r="B7" s="342"/>
      <c r="C7" s="39" t="s">
        <v>29</v>
      </c>
      <c r="D7" s="88">
        <f>'FY18 Average Cost per Client'!D8</f>
        <v>0</v>
      </c>
      <c r="E7" s="89">
        <f>'Distribution of Cases by Svc'!E8</f>
        <v>0</v>
      </c>
      <c r="F7" s="88">
        <f t="shared" si="0"/>
        <v>0</v>
      </c>
      <c r="G7" s="90">
        <f>'FY18 Average Cost per Client'!E8</f>
        <v>0</v>
      </c>
      <c r="H7" s="96">
        <f t="shared" si="1"/>
        <v>0</v>
      </c>
      <c r="I7" s="92">
        <f t="shared" si="2"/>
        <v>0</v>
      </c>
      <c r="J7" s="93">
        <f t="shared" si="5"/>
        <v>0</v>
      </c>
      <c r="K7" s="97"/>
      <c r="L7" s="91">
        <f t="shared" si="3"/>
        <v>0</v>
      </c>
      <c r="M7" s="92">
        <v>0</v>
      </c>
      <c r="N7" s="93">
        <f>MROUND(H7*'FY18 Allocations'!H8,10000)</f>
        <v>0</v>
      </c>
      <c r="O7" s="30"/>
      <c r="P7" s="106">
        <f>'FY18 Allocations'!E8+'FY18 Allocations'!E32</f>
        <v>183733.25</v>
      </c>
      <c r="Q7" s="38">
        <f t="shared" si="4"/>
        <v>-183733.25</v>
      </c>
      <c r="R7" s="37">
        <f>Q7/P7</f>
        <v>-1</v>
      </c>
    </row>
    <row r="8" spans="1:26" ht="15.75" customHeight="1" x14ac:dyDescent="0.25">
      <c r="A8" s="342"/>
      <c r="B8" s="342"/>
      <c r="C8" s="43" t="s">
        <v>31</v>
      </c>
      <c r="D8" s="107">
        <f>'FY18 Average Cost per Client'!D9</f>
        <v>625</v>
      </c>
      <c r="E8" s="108">
        <f>'Distribution of Cases by Svc'!E9</f>
        <v>28</v>
      </c>
      <c r="F8" s="107">
        <f t="shared" si="0"/>
        <v>653</v>
      </c>
      <c r="G8" s="109">
        <f>'FY18 Average Cost per Client'!E9</f>
        <v>2485</v>
      </c>
      <c r="H8" s="96">
        <f t="shared" si="1"/>
        <v>1620000</v>
      </c>
      <c r="I8" s="92">
        <f t="shared" si="2"/>
        <v>0.18848167539267016</v>
      </c>
      <c r="J8" s="93">
        <f>MROUND(H8*'FY18 Allocations'!H9,10000)</f>
        <v>1430000</v>
      </c>
      <c r="K8" s="97"/>
      <c r="L8" s="91">
        <f t="shared" si="3"/>
        <v>1624817.4963350773</v>
      </c>
      <c r="M8" s="92">
        <v>0.18988167539267001</v>
      </c>
      <c r="N8" s="93">
        <f>MROUND(H8*'FY18 Allocations'!H9,10000)</f>
        <v>1430000</v>
      </c>
      <c r="O8" s="2"/>
      <c r="P8" s="2"/>
      <c r="Q8" s="2"/>
      <c r="R8" s="2"/>
      <c r="S8" s="2"/>
      <c r="T8" s="2"/>
      <c r="U8" s="2"/>
      <c r="V8" s="2"/>
      <c r="W8" s="2"/>
      <c r="X8" s="2"/>
      <c r="Y8" s="2"/>
      <c r="Z8" s="2"/>
    </row>
    <row r="9" spans="1:26" ht="18.75" customHeight="1" x14ac:dyDescent="0.25">
      <c r="A9" s="342"/>
      <c r="B9" s="342"/>
      <c r="C9" s="39" t="s">
        <v>32</v>
      </c>
      <c r="D9" s="88">
        <f>'FY18 Average Cost per Client'!D10</f>
        <v>32</v>
      </c>
      <c r="E9" s="89">
        <f>'Distribution of Cases by Svc'!E10</f>
        <v>5</v>
      </c>
      <c r="F9" s="88">
        <f t="shared" si="0"/>
        <v>37</v>
      </c>
      <c r="G9" s="90">
        <f>'FY18 Average Cost per Client'!E10</f>
        <v>140</v>
      </c>
      <c r="H9" s="96">
        <f>MROUND(F9*G9,1000)</f>
        <v>5000</v>
      </c>
      <c r="I9" s="92">
        <f t="shared" si="2"/>
        <v>5.8173356602675972E-4</v>
      </c>
      <c r="J9" s="93">
        <f t="shared" ref="J9:J24" si="7">H9</f>
        <v>5000</v>
      </c>
      <c r="K9" s="97"/>
      <c r="L9" s="91">
        <f t="shared" si="3"/>
        <v>6004.7341244909858</v>
      </c>
      <c r="M9" s="92">
        <v>7.0173356602676003E-4</v>
      </c>
      <c r="N9" s="93">
        <f t="shared" ref="N9:N24" si="8">H9</f>
        <v>5000</v>
      </c>
      <c r="O9" s="317" t="s">
        <v>68</v>
      </c>
      <c r="P9" s="338"/>
      <c r="Q9" s="338"/>
      <c r="R9" s="338"/>
      <c r="S9" s="339"/>
    </row>
    <row r="10" spans="1:26" ht="15.75" customHeight="1" x14ac:dyDescent="0.25">
      <c r="A10" s="342"/>
      <c r="B10" s="342"/>
      <c r="C10" s="39" t="s">
        <v>33</v>
      </c>
      <c r="D10" s="88">
        <f>'FY18 Average Cost per Client'!D11</f>
        <v>5</v>
      </c>
      <c r="E10" s="89">
        <f>'Distribution of Cases by Svc'!E11</f>
        <v>0</v>
      </c>
      <c r="F10" s="88">
        <f t="shared" si="0"/>
        <v>5</v>
      </c>
      <c r="G10" s="90">
        <f>'FY18 Average Cost per Client'!E11</f>
        <v>3724</v>
      </c>
      <c r="H10" s="96">
        <f t="shared" ref="H10:H24" si="9">MROUND(F10*G10,10000)</f>
        <v>20000</v>
      </c>
      <c r="I10" s="92">
        <f t="shared" si="2"/>
        <v>2.3269342641070389E-3</v>
      </c>
      <c r="J10" s="93">
        <f t="shared" si="7"/>
        <v>20000</v>
      </c>
      <c r="K10" s="97"/>
      <c r="L10" s="91">
        <f t="shared" si="3"/>
        <v>19911.576497963932</v>
      </c>
      <c r="M10" s="92">
        <v>2.3269342641070389E-3</v>
      </c>
      <c r="N10" s="93">
        <f t="shared" si="8"/>
        <v>20000</v>
      </c>
      <c r="O10" s="30"/>
      <c r="P10" s="106">
        <f>'FY18 Allocations'!E11</f>
        <v>18617.77</v>
      </c>
      <c r="Q10" s="38">
        <f t="shared" ref="Q10:Q11" si="10">H10-P10</f>
        <v>1382.2299999999996</v>
      </c>
      <c r="R10" s="37">
        <f t="shared" ref="R10:R11" si="11">Q10/P10</f>
        <v>7.4242511321173238E-2</v>
      </c>
    </row>
    <row r="11" spans="1:26" ht="15.75" customHeight="1" x14ac:dyDescent="0.25">
      <c r="A11" s="342"/>
      <c r="B11" s="342"/>
      <c r="C11" s="33" t="s">
        <v>34</v>
      </c>
      <c r="D11" s="88">
        <f>'FY18 Average Cost per Client'!D12</f>
        <v>0</v>
      </c>
      <c r="E11" s="89">
        <f>'Distribution of Cases by Svc'!E12</f>
        <v>0</v>
      </c>
      <c r="F11" s="88">
        <f t="shared" si="0"/>
        <v>0</v>
      </c>
      <c r="G11" s="90">
        <f>'FY18 Average Cost per Client'!E12</f>
        <v>0</v>
      </c>
      <c r="H11" s="96">
        <f t="shared" si="9"/>
        <v>0</v>
      </c>
      <c r="I11" s="92">
        <f t="shared" si="2"/>
        <v>0</v>
      </c>
      <c r="J11" s="93">
        <f t="shared" si="7"/>
        <v>0</v>
      </c>
      <c r="K11" s="97"/>
      <c r="L11" s="91">
        <f t="shared" si="3"/>
        <v>0</v>
      </c>
      <c r="M11" s="92">
        <v>0</v>
      </c>
      <c r="N11" s="93">
        <f t="shared" si="8"/>
        <v>0</v>
      </c>
      <c r="O11" s="30"/>
      <c r="P11" s="106">
        <f>'FY18 Allocations'!E12</f>
        <v>0</v>
      </c>
      <c r="Q11" s="38">
        <f t="shared" si="10"/>
        <v>0</v>
      </c>
      <c r="R11" s="37" t="e">
        <f t="shared" si="11"/>
        <v>#DIV/0!</v>
      </c>
    </row>
    <row r="12" spans="1:26" ht="15.75" customHeight="1" x14ac:dyDescent="0.25">
      <c r="A12" s="342"/>
      <c r="B12" s="342"/>
      <c r="C12" s="33" t="s">
        <v>35</v>
      </c>
      <c r="D12" s="88">
        <f>'FY18 Average Cost per Client'!D13</f>
        <v>219</v>
      </c>
      <c r="E12" s="89">
        <f>'Distribution of Cases by Svc'!E13</f>
        <v>16</v>
      </c>
      <c r="F12" s="88">
        <f t="shared" si="0"/>
        <v>235</v>
      </c>
      <c r="G12" s="90">
        <f>'FY18 Average Cost per Client'!E13</f>
        <v>871</v>
      </c>
      <c r="H12" s="96">
        <f t="shared" si="9"/>
        <v>200000</v>
      </c>
      <c r="I12" s="92">
        <f t="shared" si="2"/>
        <v>2.326934264107039E-2</v>
      </c>
      <c r="J12" s="93">
        <f t="shared" si="7"/>
        <v>200000</v>
      </c>
      <c r="K12" s="97"/>
      <c r="L12" s="91">
        <f t="shared" si="3"/>
        <v>199115.76497963932</v>
      </c>
      <c r="M12" s="92">
        <v>2.326934264107039E-2</v>
      </c>
      <c r="N12" s="93">
        <f t="shared" si="8"/>
        <v>200000</v>
      </c>
      <c r="O12" s="30"/>
      <c r="P12" s="106"/>
      <c r="Q12" s="38"/>
      <c r="R12" s="37"/>
      <c r="S12" s="2"/>
      <c r="T12" s="2"/>
      <c r="U12" s="2"/>
      <c r="V12" s="2"/>
      <c r="W12" s="2"/>
      <c r="X12" s="2"/>
      <c r="Y12" s="2"/>
      <c r="Z12" s="2"/>
    </row>
    <row r="13" spans="1:26" ht="15.75" customHeight="1" x14ac:dyDescent="0.25">
      <c r="A13" s="342"/>
      <c r="B13" s="342"/>
      <c r="C13" s="39" t="s">
        <v>36</v>
      </c>
      <c r="D13" s="110">
        <f>'FY18 Average Cost per Client'!D14</f>
        <v>950</v>
      </c>
      <c r="E13" s="111">
        <f>'Distribution of Cases by Svc'!E14</f>
        <v>51</v>
      </c>
      <c r="F13" s="110">
        <f t="shared" si="0"/>
        <v>1001</v>
      </c>
      <c r="G13" s="112">
        <f>'FY18 Average Cost per Client'!E14</f>
        <v>260</v>
      </c>
      <c r="H13" s="113">
        <f t="shared" si="9"/>
        <v>260000</v>
      </c>
      <c r="I13" s="92">
        <f t="shared" si="2"/>
        <v>3.0250145433391506E-2</v>
      </c>
      <c r="J13" s="93">
        <f t="shared" si="7"/>
        <v>260000</v>
      </c>
      <c r="K13" s="114"/>
      <c r="L13" s="91">
        <f t="shared" si="3"/>
        <v>258850.49447353111</v>
      </c>
      <c r="M13" s="92">
        <v>3.0250145433391506E-2</v>
      </c>
      <c r="N13" s="93">
        <f t="shared" si="8"/>
        <v>260000</v>
      </c>
      <c r="O13" s="115"/>
      <c r="P13" s="61">
        <f>'FY18 Allocations'!E13</f>
        <v>190645.93</v>
      </c>
      <c r="Q13" s="62">
        <f>H12-P13</f>
        <v>9354.070000000007</v>
      </c>
      <c r="R13" s="116">
        <f>Q13/P13</f>
        <v>4.9065143955604018E-2</v>
      </c>
      <c r="S13" s="64"/>
      <c r="T13" s="64"/>
      <c r="U13" s="64"/>
      <c r="V13" s="64"/>
      <c r="W13" s="64"/>
      <c r="X13" s="64"/>
      <c r="Y13" s="64"/>
      <c r="Z13" s="64"/>
    </row>
    <row r="14" spans="1:26" ht="17.25" customHeight="1" x14ac:dyDescent="0.25">
      <c r="A14" s="343"/>
      <c r="B14" s="343"/>
      <c r="C14" s="58" t="s">
        <v>37</v>
      </c>
      <c r="D14" s="117">
        <f>'FY18 Average Cost per Client'!D15</f>
        <v>725</v>
      </c>
      <c r="E14" s="118">
        <f>'Distribution of Cases by Svc'!E15</f>
        <v>33</v>
      </c>
      <c r="F14" s="117">
        <f t="shared" si="0"/>
        <v>758</v>
      </c>
      <c r="G14" s="119">
        <f>'FY18 Average Cost per Client'!E15</f>
        <v>2628</v>
      </c>
      <c r="H14" s="120">
        <f t="shared" si="9"/>
        <v>1990000</v>
      </c>
      <c r="I14" s="92">
        <f t="shared" si="2"/>
        <v>0.23152995927865039</v>
      </c>
      <c r="J14" s="93">
        <f t="shared" si="7"/>
        <v>1990000</v>
      </c>
      <c r="K14" s="121"/>
      <c r="L14" s="91">
        <f t="shared" si="3"/>
        <v>1981201.8615474114</v>
      </c>
      <c r="M14" s="92">
        <v>0.23152995927865039</v>
      </c>
      <c r="N14" s="93">
        <f t="shared" si="8"/>
        <v>1990000</v>
      </c>
      <c r="O14" s="122"/>
      <c r="P14" s="118">
        <v>0</v>
      </c>
      <c r="Q14" s="123" t="e">
        <f>#REF!-P14</f>
        <v>#REF!</v>
      </c>
      <c r="R14" s="124">
        <v>0</v>
      </c>
      <c r="S14" s="64"/>
      <c r="T14" s="64"/>
      <c r="U14" s="64"/>
      <c r="V14" s="64"/>
      <c r="W14" s="64"/>
      <c r="X14" s="64"/>
      <c r="Y14" s="64"/>
      <c r="Z14" s="64"/>
    </row>
    <row r="15" spans="1:26" ht="15.75" customHeight="1" x14ac:dyDescent="0.25">
      <c r="A15" s="341">
        <f>SUM(H15:H24)/H25</f>
        <v>0.2210587550901687</v>
      </c>
      <c r="B15" s="344" t="s">
        <v>39</v>
      </c>
      <c r="C15" s="69" t="s">
        <v>40</v>
      </c>
      <c r="D15" s="88">
        <f>'FY18 Average Cost per Client'!D16</f>
        <v>242</v>
      </c>
      <c r="E15" s="89">
        <f>'Distribution of Cases by Svc'!E16</f>
        <v>13</v>
      </c>
      <c r="F15" s="88">
        <f t="shared" si="0"/>
        <v>255</v>
      </c>
      <c r="G15" s="90">
        <f>'FY18 Average Cost per Client'!E16</f>
        <v>480</v>
      </c>
      <c r="H15" s="91">
        <f t="shared" si="9"/>
        <v>120000</v>
      </c>
      <c r="I15" s="92">
        <f t="shared" si="2"/>
        <v>1.3961605584642234E-2</v>
      </c>
      <c r="J15" s="93">
        <f t="shared" si="7"/>
        <v>120000</v>
      </c>
      <c r="K15" s="94"/>
      <c r="L15" s="91">
        <f t="shared" si="3"/>
        <v>119469.4589877836</v>
      </c>
      <c r="M15" s="92">
        <v>1.3961605584642234E-2</v>
      </c>
      <c r="N15" s="93">
        <f t="shared" si="8"/>
        <v>120000</v>
      </c>
      <c r="O15" s="30"/>
      <c r="P15" s="95">
        <f>'FY18 Allocations'!E16</f>
        <v>116174.86</v>
      </c>
      <c r="Q15" s="20">
        <f t="shared" ref="Q15:Q22" si="12">H15-P15</f>
        <v>3825.1399999999994</v>
      </c>
      <c r="R15" s="27">
        <f t="shared" ref="R15:R21" si="13">Q15/P15</f>
        <v>3.2925712154936095E-2</v>
      </c>
    </row>
    <row r="16" spans="1:26" ht="15.75" customHeight="1" x14ac:dyDescent="0.25">
      <c r="A16" s="342"/>
      <c r="B16" s="342"/>
      <c r="C16" s="39" t="s">
        <v>41</v>
      </c>
      <c r="D16" s="88">
        <f>'FY18 Average Cost per Client'!D17</f>
        <v>0</v>
      </c>
      <c r="E16" s="89">
        <f>'Distribution of Cases by Svc'!E17</f>
        <v>0</v>
      </c>
      <c r="F16" s="88">
        <f t="shared" si="0"/>
        <v>0</v>
      </c>
      <c r="G16" s="90">
        <f>'FY18 Average Cost per Client'!E17</f>
        <v>0</v>
      </c>
      <c r="H16" s="96">
        <f t="shared" si="9"/>
        <v>0</v>
      </c>
      <c r="I16" s="92">
        <f t="shared" si="2"/>
        <v>0</v>
      </c>
      <c r="J16" s="93">
        <f t="shared" si="7"/>
        <v>0</v>
      </c>
      <c r="K16" s="97"/>
      <c r="L16" s="91">
        <f t="shared" si="3"/>
        <v>0</v>
      </c>
      <c r="M16" s="92">
        <v>0</v>
      </c>
      <c r="N16" s="93">
        <f t="shared" si="8"/>
        <v>0</v>
      </c>
      <c r="O16" s="30"/>
      <c r="P16" s="106">
        <f>'FY18 Allocations'!E17</f>
        <v>0</v>
      </c>
      <c r="Q16" s="38">
        <f t="shared" si="12"/>
        <v>0</v>
      </c>
      <c r="R16" s="37" t="e">
        <f t="shared" si="13"/>
        <v>#DIV/0!</v>
      </c>
    </row>
    <row r="17" spans="1:18" ht="15.75" customHeight="1" x14ac:dyDescent="0.25">
      <c r="A17" s="342"/>
      <c r="B17" s="342"/>
      <c r="C17" s="39" t="s">
        <v>42</v>
      </c>
      <c r="D17" s="88">
        <f>'FY18 Average Cost per Client'!D18</f>
        <v>219</v>
      </c>
      <c r="E17" s="89">
        <f>'Distribution of Cases by Svc'!E18</f>
        <v>8</v>
      </c>
      <c r="F17" s="88">
        <f t="shared" si="0"/>
        <v>227</v>
      </c>
      <c r="G17" s="90">
        <f>'FY18 Average Cost per Client'!E18</f>
        <v>2105</v>
      </c>
      <c r="H17" s="96">
        <f t="shared" si="9"/>
        <v>480000</v>
      </c>
      <c r="I17" s="92">
        <f t="shared" si="2"/>
        <v>5.5846422338568937E-2</v>
      </c>
      <c r="J17" s="93">
        <f t="shared" si="7"/>
        <v>480000</v>
      </c>
      <c r="K17" s="97"/>
      <c r="L17" s="91">
        <f t="shared" si="3"/>
        <v>477877.83595113439</v>
      </c>
      <c r="M17" s="92">
        <v>5.5846422338568937E-2</v>
      </c>
      <c r="N17" s="93">
        <f t="shared" si="8"/>
        <v>480000</v>
      </c>
      <c r="O17" s="30"/>
      <c r="P17" s="106">
        <f>'FY18 Allocations'!E18</f>
        <v>460975.9</v>
      </c>
      <c r="Q17" s="38">
        <f t="shared" si="12"/>
        <v>19024.099999999977</v>
      </c>
      <c r="R17" s="37">
        <f t="shared" si="13"/>
        <v>4.1269185655909507E-2</v>
      </c>
    </row>
    <row r="18" spans="1:18" ht="15.75" customHeight="1" x14ac:dyDescent="0.25">
      <c r="A18" s="342"/>
      <c r="B18" s="342"/>
      <c r="C18" s="33" t="s">
        <v>43</v>
      </c>
      <c r="D18" s="88">
        <f>'FY18 Average Cost per Client'!D19</f>
        <v>1390</v>
      </c>
      <c r="E18" s="89">
        <f>'Distribution of Cases by Svc'!E19</f>
        <v>73</v>
      </c>
      <c r="F18" s="88">
        <f t="shared" si="0"/>
        <v>1463</v>
      </c>
      <c r="G18" s="90">
        <f>'FY18 Average Cost per Client'!E19</f>
        <v>238</v>
      </c>
      <c r="H18" s="96">
        <f t="shared" si="9"/>
        <v>350000</v>
      </c>
      <c r="I18" s="92">
        <f t="shared" si="2"/>
        <v>4.0721349621873182E-2</v>
      </c>
      <c r="J18" s="93">
        <f t="shared" si="7"/>
        <v>350000</v>
      </c>
      <c r="K18" s="97"/>
      <c r="L18" s="91">
        <f t="shared" si="3"/>
        <v>348452.58871436882</v>
      </c>
      <c r="M18" s="92">
        <v>4.0721349621873182E-2</v>
      </c>
      <c r="N18" s="93">
        <f t="shared" si="8"/>
        <v>350000</v>
      </c>
      <c r="O18" s="30"/>
      <c r="P18" s="106">
        <f>'FY18 Allocations'!E19</f>
        <v>330651.53999999998</v>
      </c>
      <c r="Q18" s="38">
        <f t="shared" si="12"/>
        <v>19348.460000000021</v>
      </c>
      <c r="R18" s="37">
        <f t="shared" si="13"/>
        <v>5.8516164781812367E-2</v>
      </c>
    </row>
    <row r="19" spans="1:18" ht="15.75" customHeight="1" x14ac:dyDescent="0.25">
      <c r="A19" s="342"/>
      <c r="B19" s="342"/>
      <c r="C19" s="33" t="s">
        <v>44</v>
      </c>
      <c r="D19" s="88">
        <f>'FY18 Average Cost per Client'!D20</f>
        <v>15</v>
      </c>
      <c r="E19" s="89">
        <f>'Distribution of Cases by Svc'!E20</f>
        <v>4</v>
      </c>
      <c r="F19" s="88">
        <f t="shared" si="0"/>
        <v>19</v>
      </c>
      <c r="G19" s="90">
        <f>'FY18 Average Cost per Client'!E20</f>
        <v>5263</v>
      </c>
      <c r="H19" s="96">
        <f t="shared" si="9"/>
        <v>100000</v>
      </c>
      <c r="I19" s="92">
        <f t="shared" si="2"/>
        <v>1.1634671320535195E-2</v>
      </c>
      <c r="J19" s="93">
        <f t="shared" si="7"/>
        <v>100000</v>
      </c>
      <c r="K19" s="97"/>
      <c r="L19" s="91">
        <f t="shared" si="3"/>
        <v>99557.882489819662</v>
      </c>
      <c r="M19" s="92">
        <v>1.1634671320535195E-2</v>
      </c>
      <c r="N19" s="93">
        <f t="shared" si="8"/>
        <v>100000</v>
      </c>
      <c r="O19" s="30"/>
      <c r="P19" s="106">
        <f>'FY18 Allocations'!E20</f>
        <v>78939.33</v>
      </c>
      <c r="Q19" s="38">
        <f t="shared" si="12"/>
        <v>21060.67</v>
      </c>
      <c r="R19" s="37">
        <f t="shared" si="13"/>
        <v>0.26679565179993292</v>
      </c>
    </row>
    <row r="20" spans="1:18" ht="15.75" customHeight="1" x14ac:dyDescent="0.25">
      <c r="A20" s="342"/>
      <c r="B20" s="342"/>
      <c r="C20" s="33" t="s">
        <v>45</v>
      </c>
      <c r="D20" s="88">
        <f>'FY18 Average Cost per Client'!D21</f>
        <v>0</v>
      </c>
      <c r="E20" s="89">
        <f>'Distribution of Cases by Svc'!E21</f>
        <v>0</v>
      </c>
      <c r="F20" s="88">
        <f t="shared" si="0"/>
        <v>0</v>
      </c>
      <c r="G20" s="90">
        <f>'FY18 Average Cost per Client'!E21</f>
        <v>0</v>
      </c>
      <c r="H20" s="96">
        <f t="shared" si="9"/>
        <v>0</v>
      </c>
      <c r="I20" s="92">
        <f t="shared" si="2"/>
        <v>0</v>
      </c>
      <c r="J20" s="93">
        <f t="shared" si="7"/>
        <v>0</v>
      </c>
      <c r="K20" s="97"/>
      <c r="L20" s="91">
        <f t="shared" si="3"/>
        <v>0</v>
      </c>
      <c r="M20" s="92">
        <v>0</v>
      </c>
      <c r="N20" s="93">
        <f t="shared" si="8"/>
        <v>0</v>
      </c>
      <c r="O20" s="30"/>
      <c r="P20" s="106">
        <f>'FY18 Allocations'!E21</f>
        <v>0</v>
      </c>
      <c r="Q20" s="38">
        <f t="shared" si="12"/>
        <v>0</v>
      </c>
      <c r="R20" s="37" t="e">
        <f t="shared" si="13"/>
        <v>#DIV/0!</v>
      </c>
    </row>
    <row r="21" spans="1:18" ht="15.75" customHeight="1" x14ac:dyDescent="0.25">
      <c r="A21" s="342"/>
      <c r="B21" s="342"/>
      <c r="C21" s="33" t="s">
        <v>46</v>
      </c>
      <c r="D21" s="88">
        <f>'FY18 Average Cost per Client'!D22</f>
        <v>710</v>
      </c>
      <c r="E21" s="89">
        <f>'Distribution of Cases by Svc'!E22</f>
        <v>62</v>
      </c>
      <c r="F21" s="88">
        <f t="shared" si="0"/>
        <v>772</v>
      </c>
      <c r="G21" s="90">
        <f>'FY18 Average Cost per Client'!E22</f>
        <v>971</v>
      </c>
      <c r="H21" s="96">
        <f t="shared" si="9"/>
        <v>750000</v>
      </c>
      <c r="I21" s="92">
        <f t="shared" si="2"/>
        <v>8.7260034904013961E-2</v>
      </c>
      <c r="J21" s="93">
        <f t="shared" si="7"/>
        <v>750000</v>
      </c>
      <c r="K21" s="97"/>
      <c r="L21" s="91">
        <f t="shared" si="3"/>
        <v>746684.11867364752</v>
      </c>
      <c r="M21" s="92">
        <v>8.7260034904013961E-2</v>
      </c>
      <c r="N21" s="93">
        <f t="shared" si="8"/>
        <v>750000</v>
      </c>
      <c r="O21" s="30"/>
      <c r="P21" s="106">
        <f>'FY18 Allocations'!E22</f>
        <v>689602.08</v>
      </c>
      <c r="Q21" s="38">
        <f t="shared" si="12"/>
        <v>60397.920000000042</v>
      </c>
      <c r="R21" s="37">
        <f t="shared" si="13"/>
        <v>8.7583726545604451E-2</v>
      </c>
    </row>
    <row r="22" spans="1:18" ht="15.75" customHeight="1" x14ac:dyDescent="0.25">
      <c r="A22" s="342"/>
      <c r="B22" s="342"/>
      <c r="C22" s="33" t="s">
        <v>47</v>
      </c>
      <c r="D22" s="88">
        <f>'FY18 Average Cost per Client'!D23</f>
        <v>12</v>
      </c>
      <c r="E22" s="89">
        <f>'Distribution of Cases by Svc'!E23</f>
        <v>1</v>
      </c>
      <c r="F22" s="88">
        <f t="shared" si="0"/>
        <v>13</v>
      </c>
      <c r="G22" s="90">
        <f>'FY18 Average Cost per Client'!E23</f>
        <v>1924</v>
      </c>
      <c r="H22" s="96">
        <f t="shared" si="9"/>
        <v>30000</v>
      </c>
      <c r="I22" s="92">
        <f t="shared" si="2"/>
        <v>3.4904013961605585E-3</v>
      </c>
      <c r="J22" s="93">
        <f t="shared" si="7"/>
        <v>30000</v>
      </c>
      <c r="K22" s="97"/>
      <c r="L22" s="91">
        <f t="shared" si="3"/>
        <v>29867.364746945899</v>
      </c>
      <c r="M22" s="92">
        <v>3.4904013961605585E-3</v>
      </c>
      <c r="N22" s="93">
        <f t="shared" si="8"/>
        <v>30000</v>
      </c>
      <c r="O22" s="138"/>
      <c r="P22" s="106">
        <v>0</v>
      </c>
      <c r="Q22" s="38">
        <f t="shared" si="12"/>
        <v>30000</v>
      </c>
      <c r="R22" s="37">
        <v>0</v>
      </c>
    </row>
    <row r="23" spans="1:18" ht="15.75" customHeight="1" x14ac:dyDescent="0.25">
      <c r="A23" s="342"/>
      <c r="B23" s="342"/>
      <c r="C23" s="33" t="s">
        <v>48</v>
      </c>
      <c r="D23" s="144">
        <f>'FY18 Average Cost per Client'!D24</f>
        <v>225</v>
      </c>
      <c r="E23" s="151">
        <f>'Distribution of Cases by Svc'!E24</f>
        <v>11</v>
      </c>
      <c r="F23" s="144">
        <f t="shared" si="0"/>
        <v>236</v>
      </c>
      <c r="G23" s="152">
        <f>'FY18 Average Cost per Client'!E24</f>
        <v>311</v>
      </c>
      <c r="H23" s="113">
        <f t="shared" si="9"/>
        <v>70000</v>
      </c>
      <c r="I23" s="92">
        <f t="shared" si="2"/>
        <v>8.1442699243746367E-3</v>
      </c>
      <c r="J23" s="93">
        <f t="shared" si="7"/>
        <v>70000</v>
      </c>
      <c r="K23" s="114"/>
      <c r="L23" s="91">
        <f t="shared" si="3"/>
        <v>69519.37774287413</v>
      </c>
      <c r="M23" s="92">
        <v>8.1242699243746792E-3</v>
      </c>
      <c r="N23" s="93">
        <f t="shared" si="8"/>
        <v>70000</v>
      </c>
      <c r="O23" s="138"/>
      <c r="P23" s="106"/>
      <c r="Q23" s="38"/>
      <c r="R23" s="37"/>
    </row>
    <row r="24" spans="1:18" ht="15.75" customHeight="1" x14ac:dyDescent="0.25">
      <c r="A24" s="342"/>
      <c r="B24" s="342"/>
      <c r="C24" s="76" t="s">
        <v>49</v>
      </c>
      <c r="D24" s="154">
        <f>'FY18 Average Cost per Client'!D25</f>
        <v>0</v>
      </c>
      <c r="E24" s="155">
        <f>'Distribution of Cases by Svc'!E25</f>
        <v>0</v>
      </c>
      <c r="F24" s="154">
        <f t="shared" si="0"/>
        <v>0</v>
      </c>
      <c r="G24" s="156">
        <f>'FY18 Average Cost per Client'!E25</f>
        <v>0</v>
      </c>
      <c r="H24" s="120">
        <f t="shared" si="9"/>
        <v>0</v>
      </c>
      <c r="I24" s="92">
        <f t="shared" si="2"/>
        <v>0</v>
      </c>
      <c r="J24" s="93">
        <f t="shared" si="7"/>
        <v>0</v>
      </c>
      <c r="K24" s="121"/>
      <c r="L24" s="91">
        <f t="shared" si="3"/>
        <v>0</v>
      </c>
      <c r="M24" s="92">
        <v>0</v>
      </c>
      <c r="N24" s="93">
        <f t="shared" si="8"/>
        <v>0</v>
      </c>
      <c r="O24" s="138"/>
      <c r="P24" s="106"/>
      <c r="Q24" s="38"/>
      <c r="R24" s="37"/>
    </row>
    <row r="25" spans="1:18" ht="15.75" customHeight="1" x14ac:dyDescent="0.25">
      <c r="A25" s="129"/>
      <c r="B25" s="130"/>
      <c r="C25" s="149" t="s">
        <v>69</v>
      </c>
      <c r="D25" s="88"/>
      <c r="E25" s="143"/>
      <c r="F25" s="143"/>
      <c r="G25" s="157"/>
      <c r="H25" s="91">
        <f>SUM(H4:H24)</f>
        <v>8595000</v>
      </c>
      <c r="I25" s="158"/>
      <c r="J25" s="159"/>
      <c r="K25" s="94"/>
      <c r="L25" s="91">
        <v>8557000</v>
      </c>
      <c r="M25" s="158"/>
      <c r="N25" s="159"/>
      <c r="O25" s="2"/>
      <c r="P25" s="95">
        <f t="shared" ref="P25:Q25" si="14">SUM(P4:P24)</f>
        <v>4530963.45</v>
      </c>
      <c r="Q25" s="20" t="e">
        <f t="shared" si="14"/>
        <v>#REF!</v>
      </c>
      <c r="R25" s="27" t="e">
        <f>Q25/P25</f>
        <v>#REF!</v>
      </c>
    </row>
    <row r="26" spans="1:18" ht="15.75" customHeight="1" x14ac:dyDescent="0.25">
      <c r="A26" s="162" t="s">
        <v>50</v>
      </c>
      <c r="B26" s="162"/>
      <c r="C26" s="162"/>
      <c r="D26" s="164"/>
      <c r="E26" s="162"/>
      <c r="F26" s="162"/>
      <c r="G26" s="162"/>
      <c r="I26" s="165">
        <f>SUM(I4:I25)</f>
        <v>0.99999999999999989</v>
      </c>
      <c r="J26" s="138">
        <f>SUM(J4:J24)</f>
        <v>7855000</v>
      </c>
      <c r="K26" s="2"/>
      <c r="L26" s="2"/>
      <c r="M26" s="165">
        <f t="shared" ref="M26:N26" si="15">SUM(M4:M24)</f>
        <v>0.99999999999999978</v>
      </c>
      <c r="N26" s="138">
        <f t="shared" si="15"/>
        <v>7855000</v>
      </c>
      <c r="O26" s="138"/>
    </row>
    <row r="27" spans="1:18" ht="15.75" customHeight="1" x14ac:dyDescent="0.25">
      <c r="A27" s="162" t="s">
        <v>83</v>
      </c>
      <c r="B27" s="162"/>
      <c r="C27" s="162"/>
      <c r="D27" s="164"/>
      <c r="E27" s="162"/>
      <c r="F27" s="162"/>
      <c r="G27" s="162"/>
      <c r="I27" s="165"/>
      <c r="J27" s="138"/>
      <c r="K27" s="2"/>
      <c r="L27" s="138">
        <f>SUM(L4:L24)</f>
        <v>8556999.9999999963</v>
      </c>
      <c r="M27" s="165"/>
      <c r="N27" s="138"/>
      <c r="O27" s="138"/>
    </row>
    <row r="28" spans="1:18" ht="15.75" customHeight="1" x14ac:dyDescent="0.25">
      <c r="A28" s="162" t="s">
        <v>84</v>
      </c>
      <c r="B28" s="162"/>
      <c r="C28" s="162"/>
      <c r="D28" s="164"/>
      <c r="E28" s="162"/>
      <c r="F28" s="162"/>
      <c r="G28" s="162"/>
      <c r="H28" s="138"/>
      <c r="I28" s="165"/>
      <c r="J28" s="165"/>
      <c r="K28" s="138"/>
      <c r="L28" s="2"/>
      <c r="M28" s="165"/>
      <c r="N28" s="165"/>
      <c r="O28" s="138"/>
      <c r="P28" s="9"/>
      <c r="Q28" s="166"/>
      <c r="R28" s="30"/>
    </row>
    <row r="29" spans="1:18" ht="15.75" customHeight="1" x14ac:dyDescent="0.25">
      <c r="A29" s="162" t="s">
        <v>85</v>
      </c>
      <c r="B29" s="162"/>
      <c r="C29" s="162"/>
      <c r="D29" s="164"/>
      <c r="E29" s="162"/>
      <c r="F29" s="162"/>
      <c r="G29" s="162"/>
      <c r="H29" s="138"/>
      <c r="I29" s="165"/>
      <c r="J29" s="165"/>
      <c r="K29" s="138"/>
      <c r="L29" s="138"/>
      <c r="M29" s="165"/>
      <c r="N29" s="165"/>
      <c r="O29" s="138"/>
      <c r="P29" s="9"/>
      <c r="Q29" s="166"/>
      <c r="R29" s="30"/>
    </row>
    <row r="30" spans="1:18" ht="15.75" customHeight="1" x14ac:dyDescent="0.25">
      <c r="A30" s="162" t="s">
        <v>86</v>
      </c>
      <c r="B30" s="162"/>
      <c r="C30" s="162"/>
      <c r="D30" s="164"/>
      <c r="E30" s="162"/>
      <c r="F30" s="162"/>
      <c r="G30" s="162"/>
      <c r="H30" s="138"/>
      <c r="I30" s="165"/>
      <c r="J30" s="165"/>
      <c r="K30" s="138"/>
      <c r="L30" s="138"/>
      <c r="M30" s="165"/>
      <c r="N30" s="165"/>
      <c r="O30" s="138"/>
      <c r="P30" s="9"/>
      <c r="Q30" s="166"/>
      <c r="R30" s="30"/>
    </row>
    <row r="31" spans="1:18" ht="15.75" customHeight="1" x14ac:dyDescent="0.25">
      <c r="D31" s="9"/>
      <c r="H31" s="138"/>
      <c r="I31" s="165"/>
      <c r="J31" s="138" t="e">
        <f>MROUND(D4*'FY18 Allocations'!D31,10000)</f>
        <v>#VALUE!</v>
      </c>
      <c r="K31" s="138"/>
      <c r="L31" s="138"/>
      <c r="M31" s="165"/>
      <c r="N31" s="138">
        <f>MROUND(H4*'FY18 Allocations'!H31,10000)</f>
        <v>550000</v>
      </c>
      <c r="O31" s="138"/>
      <c r="P31" s="167">
        <f>'FY18 Allocations'!E31</f>
        <v>519417.35</v>
      </c>
      <c r="Q31" s="38">
        <f>N31-P31</f>
        <v>30582.650000000023</v>
      </c>
      <c r="R31" s="37">
        <f>Q31/P31</f>
        <v>5.8878760980933781E-2</v>
      </c>
    </row>
    <row r="32" spans="1:18" ht="15.75" customHeight="1" x14ac:dyDescent="0.25">
      <c r="D32" s="9"/>
      <c r="G32" s="138">
        <f>SUM(H25-L25)</f>
        <v>38000</v>
      </c>
      <c r="I32" s="2"/>
      <c r="J32" s="2"/>
      <c r="K32" s="2"/>
      <c r="L32" s="2"/>
    </row>
    <row r="33" spans="4:14" ht="15.75" customHeight="1" x14ac:dyDescent="0.25">
      <c r="D33" s="9"/>
      <c r="H33" s="9"/>
      <c r="I33" s="9"/>
      <c r="J33" s="9"/>
      <c r="K33" s="9"/>
      <c r="L33" s="9"/>
      <c r="M33" s="9"/>
      <c r="N33" s="9"/>
    </row>
    <row r="34" spans="4:14" ht="15.75" customHeight="1" x14ac:dyDescent="0.25">
      <c r="D34" s="9"/>
      <c r="I34" s="2"/>
      <c r="J34" s="2"/>
      <c r="K34" s="2"/>
      <c r="L34" s="2"/>
    </row>
    <row r="35" spans="4:14" ht="15.75" customHeight="1" x14ac:dyDescent="0.25">
      <c r="D35" s="9"/>
      <c r="I35" s="2"/>
      <c r="J35" s="2"/>
      <c r="K35" s="2"/>
      <c r="L35" s="2"/>
    </row>
    <row r="36" spans="4:14" ht="15.75" customHeight="1" x14ac:dyDescent="0.25">
      <c r="D36" s="9"/>
      <c r="I36" s="2"/>
      <c r="J36" s="2"/>
      <c r="K36" s="2"/>
      <c r="L36" s="2"/>
    </row>
    <row r="37" spans="4:14" ht="15.75" customHeight="1" x14ac:dyDescent="0.25">
      <c r="D37" s="9"/>
      <c r="I37" s="2"/>
      <c r="J37" s="2"/>
      <c r="K37" s="2"/>
      <c r="L37" s="2"/>
    </row>
    <row r="38" spans="4:14" ht="15.75" customHeight="1" x14ac:dyDescent="0.25">
      <c r="D38" s="9"/>
      <c r="I38" s="2"/>
      <c r="J38" s="2"/>
      <c r="K38" s="2"/>
      <c r="L38" s="2"/>
    </row>
    <row r="39" spans="4:14" ht="15.75" customHeight="1" x14ac:dyDescent="0.25">
      <c r="D39" s="9"/>
      <c r="I39" s="2"/>
      <c r="J39" s="2"/>
      <c r="K39" s="2"/>
      <c r="L39" s="2"/>
    </row>
    <row r="40" spans="4:14" ht="15.75" customHeight="1" x14ac:dyDescent="0.25">
      <c r="D40" s="9"/>
      <c r="I40" s="2"/>
      <c r="J40" s="2"/>
      <c r="K40" s="2"/>
      <c r="L40" s="2"/>
    </row>
    <row r="41" spans="4:14" ht="15.75" customHeight="1" x14ac:dyDescent="0.25">
      <c r="D41" s="9"/>
      <c r="I41" s="2"/>
      <c r="J41" s="2"/>
      <c r="K41" s="2"/>
      <c r="L41" s="2"/>
    </row>
    <row r="42" spans="4:14" ht="15.75" customHeight="1" x14ac:dyDescent="0.25">
      <c r="D42" s="9"/>
      <c r="I42" s="2"/>
      <c r="J42" s="2"/>
      <c r="K42" s="2"/>
      <c r="L42" s="2"/>
    </row>
    <row r="43" spans="4:14" ht="15.75" customHeight="1" x14ac:dyDescent="0.25">
      <c r="D43" s="9"/>
      <c r="I43" s="2"/>
      <c r="J43" s="2"/>
      <c r="K43" s="2"/>
      <c r="L43" s="2"/>
    </row>
    <row r="44" spans="4:14" ht="15.75" customHeight="1" x14ac:dyDescent="0.25">
      <c r="D44" s="9"/>
      <c r="I44" s="2"/>
      <c r="J44" s="2"/>
      <c r="K44" s="2"/>
      <c r="L44" s="2"/>
    </row>
    <row r="45" spans="4:14" ht="15.75" customHeight="1" x14ac:dyDescent="0.25">
      <c r="D45" s="9"/>
      <c r="I45" s="2"/>
      <c r="J45" s="2"/>
      <c r="K45" s="2"/>
      <c r="L45" s="2"/>
    </row>
    <row r="46" spans="4:14" ht="15.75" customHeight="1" x14ac:dyDescent="0.25">
      <c r="D46" s="9"/>
      <c r="I46" s="2"/>
      <c r="J46" s="2"/>
      <c r="K46" s="2"/>
      <c r="L46" s="2"/>
    </row>
    <row r="47" spans="4:14" ht="15.75" customHeight="1" x14ac:dyDescent="0.25">
      <c r="D47" s="9"/>
      <c r="I47" s="2"/>
      <c r="J47" s="2"/>
      <c r="K47" s="2"/>
      <c r="L47" s="2"/>
    </row>
    <row r="48" spans="4:14" ht="15.75" customHeight="1" x14ac:dyDescent="0.25">
      <c r="D48" s="9"/>
      <c r="I48" s="2"/>
      <c r="J48" s="2"/>
      <c r="K48" s="2"/>
      <c r="L48" s="2"/>
    </row>
    <row r="49" spans="4:12" ht="15.75" customHeight="1" x14ac:dyDescent="0.25">
      <c r="D49" s="9"/>
      <c r="I49" s="2"/>
      <c r="J49" s="2"/>
      <c r="K49" s="2"/>
      <c r="L49" s="2"/>
    </row>
    <row r="50" spans="4:12" ht="15.75" customHeight="1" x14ac:dyDescent="0.25">
      <c r="D50" s="9"/>
      <c r="I50" s="2"/>
      <c r="J50" s="2"/>
      <c r="K50" s="2"/>
      <c r="L50" s="2"/>
    </row>
    <row r="51" spans="4:12" ht="15.75" customHeight="1" x14ac:dyDescent="0.25">
      <c r="D51" s="9"/>
      <c r="I51" s="2"/>
      <c r="J51" s="2"/>
      <c r="K51" s="2"/>
      <c r="L51" s="2"/>
    </row>
    <row r="52" spans="4:12" ht="15.75" customHeight="1" x14ac:dyDescent="0.25">
      <c r="D52" s="9"/>
      <c r="I52" s="2"/>
      <c r="J52" s="2"/>
      <c r="K52" s="2"/>
      <c r="L52" s="2"/>
    </row>
    <row r="53" spans="4:12" ht="15.75" customHeight="1" x14ac:dyDescent="0.25">
      <c r="D53" s="9"/>
      <c r="I53" s="2"/>
      <c r="J53" s="2"/>
      <c r="K53" s="2"/>
      <c r="L53" s="2"/>
    </row>
    <row r="54" spans="4:12" ht="15.75" customHeight="1" x14ac:dyDescent="0.25">
      <c r="D54" s="9"/>
      <c r="I54" s="2"/>
      <c r="J54" s="2"/>
      <c r="K54" s="2"/>
      <c r="L54" s="2"/>
    </row>
    <row r="55" spans="4:12" ht="15.75" customHeight="1" x14ac:dyDescent="0.25">
      <c r="D55" s="9"/>
      <c r="I55" s="2"/>
      <c r="J55" s="2"/>
      <c r="K55" s="2"/>
      <c r="L55" s="2"/>
    </row>
    <row r="56" spans="4:12" ht="15.75" customHeight="1" x14ac:dyDescent="0.25">
      <c r="D56" s="9"/>
      <c r="I56" s="2"/>
      <c r="J56" s="2"/>
      <c r="K56" s="2"/>
      <c r="L56" s="2"/>
    </row>
    <row r="57" spans="4:12" ht="15.75" customHeight="1" x14ac:dyDescent="0.25">
      <c r="D57" s="9"/>
      <c r="I57" s="2"/>
      <c r="J57" s="2"/>
      <c r="K57" s="2"/>
      <c r="L57" s="2"/>
    </row>
    <row r="58" spans="4:12" ht="15.75" customHeight="1" x14ac:dyDescent="0.25">
      <c r="D58" s="9"/>
      <c r="I58" s="2"/>
      <c r="J58" s="2"/>
      <c r="K58" s="2"/>
      <c r="L58" s="2"/>
    </row>
    <row r="59" spans="4:12" ht="15.75" customHeight="1" x14ac:dyDescent="0.25">
      <c r="D59" s="9"/>
      <c r="I59" s="2"/>
      <c r="J59" s="2"/>
      <c r="K59" s="2"/>
      <c r="L59" s="2"/>
    </row>
    <row r="60" spans="4:12" ht="15.75" customHeight="1" x14ac:dyDescent="0.25">
      <c r="D60" s="9"/>
      <c r="I60" s="2"/>
      <c r="J60" s="2"/>
      <c r="K60" s="2"/>
      <c r="L60" s="2"/>
    </row>
    <row r="61" spans="4:12" ht="15.75" customHeight="1" x14ac:dyDescent="0.25">
      <c r="D61" s="9"/>
      <c r="I61" s="2"/>
      <c r="J61" s="2"/>
      <c r="K61" s="2"/>
      <c r="L61" s="2"/>
    </row>
    <row r="62" spans="4:12" ht="15.75" customHeight="1" x14ac:dyDescent="0.25">
      <c r="D62" s="9"/>
      <c r="I62" s="2"/>
      <c r="J62" s="2"/>
      <c r="K62" s="2"/>
      <c r="L62" s="2"/>
    </row>
    <row r="63" spans="4:12" ht="15.75" customHeight="1" x14ac:dyDescent="0.25">
      <c r="D63" s="9"/>
      <c r="I63" s="2"/>
      <c r="J63" s="2"/>
      <c r="K63" s="2"/>
      <c r="L63" s="2"/>
    </row>
    <row r="64" spans="4:12" ht="15.75" customHeight="1" x14ac:dyDescent="0.25">
      <c r="D64" s="9"/>
      <c r="I64" s="2"/>
      <c r="J64" s="2"/>
      <c r="K64" s="2"/>
      <c r="L64" s="2"/>
    </row>
    <row r="65" spans="4:12" ht="15.75" customHeight="1" x14ac:dyDescent="0.25">
      <c r="D65" s="9"/>
      <c r="I65" s="2"/>
      <c r="J65" s="2"/>
      <c r="K65" s="2"/>
      <c r="L65" s="2"/>
    </row>
    <row r="66" spans="4:12" ht="15.75" customHeight="1" x14ac:dyDescent="0.25">
      <c r="D66" s="9"/>
      <c r="I66" s="2"/>
      <c r="J66" s="2"/>
      <c r="K66" s="2"/>
      <c r="L66" s="2"/>
    </row>
    <row r="67" spans="4:12" ht="15.75" customHeight="1" x14ac:dyDescent="0.25">
      <c r="D67" s="9"/>
      <c r="I67" s="2"/>
      <c r="J67" s="2"/>
      <c r="K67" s="2"/>
      <c r="L67" s="2"/>
    </row>
    <row r="68" spans="4:12" ht="15.75" customHeight="1" x14ac:dyDescent="0.25">
      <c r="D68" s="9"/>
      <c r="I68" s="2"/>
      <c r="J68" s="2"/>
      <c r="K68" s="2"/>
      <c r="L68" s="2"/>
    </row>
    <row r="69" spans="4:12" ht="15.75" customHeight="1" x14ac:dyDescent="0.25">
      <c r="D69" s="9"/>
      <c r="I69" s="2"/>
      <c r="J69" s="2"/>
      <c r="K69" s="2"/>
      <c r="L69" s="2"/>
    </row>
    <row r="70" spans="4:12" ht="15.75" customHeight="1" x14ac:dyDescent="0.25">
      <c r="D70" s="9"/>
      <c r="I70" s="2"/>
      <c r="J70" s="2"/>
      <c r="K70" s="2"/>
      <c r="L70" s="2"/>
    </row>
    <row r="71" spans="4:12" ht="15.75" customHeight="1" x14ac:dyDescent="0.25">
      <c r="D71" s="9"/>
      <c r="I71" s="2"/>
      <c r="J71" s="2"/>
      <c r="K71" s="2"/>
      <c r="L71" s="2"/>
    </row>
    <row r="72" spans="4:12" ht="15.75" customHeight="1" x14ac:dyDescent="0.25">
      <c r="D72" s="9"/>
      <c r="I72" s="2"/>
      <c r="J72" s="2"/>
      <c r="K72" s="2"/>
      <c r="L72" s="2"/>
    </row>
    <row r="73" spans="4:12" ht="15.75" customHeight="1" x14ac:dyDescent="0.25">
      <c r="D73" s="9"/>
      <c r="I73" s="2"/>
      <c r="J73" s="2"/>
      <c r="K73" s="2"/>
      <c r="L73" s="2"/>
    </row>
    <row r="74" spans="4:12" ht="15.75" customHeight="1" x14ac:dyDescent="0.25">
      <c r="D74" s="9"/>
      <c r="I74" s="2"/>
      <c r="J74" s="2"/>
      <c r="K74" s="2"/>
      <c r="L74" s="2"/>
    </row>
    <row r="75" spans="4:12" ht="15.75" customHeight="1" x14ac:dyDescent="0.25">
      <c r="D75" s="9"/>
      <c r="I75" s="2"/>
      <c r="J75" s="2"/>
      <c r="K75" s="2"/>
      <c r="L75" s="2"/>
    </row>
    <row r="76" spans="4:12" ht="15.75" customHeight="1" x14ac:dyDescent="0.25">
      <c r="D76" s="9"/>
      <c r="I76" s="2"/>
      <c r="J76" s="2"/>
      <c r="K76" s="2"/>
      <c r="L76" s="2"/>
    </row>
    <row r="77" spans="4:12" ht="15.75" customHeight="1" x14ac:dyDescent="0.25">
      <c r="D77" s="9"/>
      <c r="I77" s="2"/>
      <c r="J77" s="2"/>
      <c r="K77" s="2"/>
      <c r="L77" s="2"/>
    </row>
    <row r="78" spans="4:12" ht="15.75" customHeight="1" x14ac:dyDescent="0.25">
      <c r="D78" s="9"/>
      <c r="I78" s="2"/>
      <c r="J78" s="2"/>
      <c r="K78" s="2"/>
      <c r="L78" s="2"/>
    </row>
    <row r="79" spans="4:12" ht="15.75" customHeight="1" x14ac:dyDescent="0.25">
      <c r="D79" s="9"/>
      <c r="I79" s="2"/>
      <c r="J79" s="2"/>
      <c r="K79" s="2"/>
      <c r="L79" s="2"/>
    </row>
    <row r="80" spans="4:12" ht="15.75" customHeight="1" x14ac:dyDescent="0.25">
      <c r="D80" s="9"/>
      <c r="I80" s="2"/>
      <c r="J80" s="2"/>
      <c r="K80" s="2"/>
      <c r="L80" s="2"/>
    </row>
    <row r="81" spans="4:12" ht="15.75" customHeight="1" x14ac:dyDescent="0.25">
      <c r="D81" s="9"/>
      <c r="I81" s="2"/>
      <c r="J81" s="2"/>
      <c r="K81" s="2"/>
      <c r="L81" s="2"/>
    </row>
    <row r="82" spans="4:12" ht="15.75" customHeight="1" x14ac:dyDescent="0.25">
      <c r="D82" s="9"/>
      <c r="I82" s="2"/>
      <c r="J82" s="2"/>
      <c r="K82" s="2"/>
      <c r="L82" s="2"/>
    </row>
    <row r="83" spans="4:12" ht="15.75" customHeight="1" x14ac:dyDescent="0.25">
      <c r="D83" s="9"/>
      <c r="I83" s="2"/>
      <c r="J83" s="2"/>
      <c r="K83" s="2"/>
      <c r="L83" s="2"/>
    </row>
    <row r="84" spans="4:12" ht="15.75" customHeight="1" x14ac:dyDescent="0.25">
      <c r="D84" s="9"/>
      <c r="I84" s="2"/>
      <c r="J84" s="2"/>
      <c r="K84" s="2"/>
      <c r="L84" s="2"/>
    </row>
    <row r="85" spans="4:12" ht="15.75" customHeight="1" x14ac:dyDescent="0.25">
      <c r="D85" s="9"/>
      <c r="I85" s="2"/>
      <c r="J85" s="2"/>
      <c r="K85" s="2"/>
      <c r="L85" s="2"/>
    </row>
    <row r="86" spans="4:12" ht="15.75" customHeight="1" x14ac:dyDescent="0.25">
      <c r="D86" s="9"/>
      <c r="I86" s="2"/>
      <c r="J86" s="2"/>
      <c r="K86" s="2"/>
      <c r="L86" s="2"/>
    </row>
    <row r="87" spans="4:12" ht="15.75" customHeight="1" x14ac:dyDescent="0.25">
      <c r="D87" s="9"/>
      <c r="I87" s="2"/>
      <c r="J87" s="2"/>
      <c r="K87" s="2"/>
      <c r="L87" s="2"/>
    </row>
    <row r="88" spans="4:12" ht="15.75" customHeight="1" x14ac:dyDescent="0.25">
      <c r="D88" s="9"/>
      <c r="I88" s="2"/>
      <c r="J88" s="2"/>
      <c r="K88" s="2"/>
      <c r="L88" s="2"/>
    </row>
    <row r="89" spans="4:12" ht="15.75" customHeight="1" x14ac:dyDescent="0.25">
      <c r="D89" s="9"/>
      <c r="I89" s="2"/>
      <c r="J89" s="2"/>
      <c r="K89" s="2"/>
      <c r="L89" s="2"/>
    </row>
    <row r="90" spans="4:12" ht="15.75" customHeight="1" x14ac:dyDescent="0.25">
      <c r="D90" s="9"/>
      <c r="I90" s="2"/>
      <c r="J90" s="2"/>
      <c r="K90" s="2"/>
      <c r="L90" s="2"/>
    </row>
    <row r="91" spans="4:12" ht="15.75" customHeight="1" x14ac:dyDescent="0.25">
      <c r="D91" s="9"/>
      <c r="I91" s="2"/>
      <c r="J91" s="2"/>
      <c r="K91" s="2"/>
      <c r="L91" s="2"/>
    </row>
    <row r="92" spans="4:12" ht="15.75" customHeight="1" x14ac:dyDescent="0.25">
      <c r="D92" s="9"/>
      <c r="I92" s="2"/>
      <c r="J92" s="2"/>
      <c r="K92" s="2"/>
      <c r="L92" s="2"/>
    </row>
    <row r="93" spans="4:12" ht="15.75" customHeight="1" x14ac:dyDescent="0.25">
      <c r="D93" s="9"/>
      <c r="I93" s="2"/>
      <c r="J93" s="2"/>
      <c r="K93" s="2"/>
      <c r="L93" s="2"/>
    </row>
    <row r="94" spans="4:12" ht="15.75" customHeight="1" x14ac:dyDescent="0.25">
      <c r="D94" s="9"/>
      <c r="I94" s="2"/>
      <c r="J94" s="2"/>
      <c r="K94" s="2"/>
      <c r="L94" s="2"/>
    </row>
    <row r="95" spans="4:12" ht="15.75" customHeight="1" x14ac:dyDescent="0.25">
      <c r="D95" s="9"/>
      <c r="I95" s="2"/>
      <c r="J95" s="2"/>
      <c r="K95" s="2"/>
      <c r="L95" s="2"/>
    </row>
    <row r="96" spans="4:12" ht="15.75" customHeight="1" x14ac:dyDescent="0.25">
      <c r="D96" s="9"/>
      <c r="I96" s="2"/>
      <c r="J96" s="2"/>
      <c r="K96" s="2"/>
      <c r="L96" s="2"/>
    </row>
    <row r="97" spans="4:12" ht="15.75" customHeight="1" x14ac:dyDescent="0.25">
      <c r="D97" s="9"/>
      <c r="I97" s="2"/>
      <c r="J97" s="2"/>
      <c r="K97" s="2"/>
      <c r="L97" s="2"/>
    </row>
    <row r="98" spans="4:12" ht="15.75" customHeight="1" x14ac:dyDescent="0.25">
      <c r="D98" s="9"/>
      <c r="I98" s="2"/>
      <c r="J98" s="2"/>
      <c r="K98" s="2"/>
      <c r="L98" s="2"/>
    </row>
    <row r="99" spans="4:12" ht="15.75" customHeight="1" x14ac:dyDescent="0.25">
      <c r="D99" s="9"/>
      <c r="I99" s="2"/>
      <c r="J99" s="2"/>
      <c r="K99" s="2"/>
      <c r="L99" s="2"/>
    </row>
    <row r="100" spans="4:12" ht="15.75" customHeight="1" x14ac:dyDescent="0.25">
      <c r="D100" s="9"/>
      <c r="I100" s="2"/>
      <c r="J100" s="2"/>
      <c r="K100" s="2"/>
      <c r="L100" s="2"/>
    </row>
    <row r="101" spans="4:12" ht="15.75" customHeight="1" x14ac:dyDescent="0.25">
      <c r="D101" s="9"/>
      <c r="I101" s="2"/>
      <c r="J101" s="2"/>
      <c r="K101" s="2"/>
      <c r="L101" s="2"/>
    </row>
    <row r="102" spans="4:12" ht="15.75" customHeight="1" x14ac:dyDescent="0.25">
      <c r="D102" s="9"/>
      <c r="I102" s="2"/>
      <c r="J102" s="2"/>
      <c r="K102" s="2"/>
      <c r="L102" s="2"/>
    </row>
    <row r="103" spans="4:12" ht="15.75" customHeight="1" x14ac:dyDescent="0.25">
      <c r="D103" s="9"/>
      <c r="I103" s="2"/>
      <c r="J103" s="2"/>
      <c r="K103" s="2"/>
      <c r="L103" s="2"/>
    </row>
    <row r="104" spans="4:12" ht="15.75" customHeight="1" x14ac:dyDescent="0.25">
      <c r="D104" s="9"/>
      <c r="I104" s="2"/>
      <c r="J104" s="2"/>
      <c r="K104" s="2"/>
      <c r="L104" s="2"/>
    </row>
    <row r="105" spans="4:12" ht="15.75" customHeight="1" x14ac:dyDescent="0.25">
      <c r="D105" s="9"/>
      <c r="I105" s="2"/>
      <c r="J105" s="2"/>
      <c r="K105" s="2"/>
      <c r="L105" s="2"/>
    </row>
    <row r="106" spans="4:12" ht="15.75" customHeight="1" x14ac:dyDescent="0.25">
      <c r="D106" s="9"/>
      <c r="I106" s="2"/>
      <c r="J106" s="2"/>
      <c r="K106" s="2"/>
      <c r="L106" s="2"/>
    </row>
    <row r="107" spans="4:12" ht="15.75" customHeight="1" x14ac:dyDescent="0.25">
      <c r="D107" s="9"/>
      <c r="I107" s="2"/>
      <c r="J107" s="2"/>
      <c r="K107" s="2"/>
      <c r="L107" s="2"/>
    </row>
    <row r="108" spans="4:12" ht="15.75" customHeight="1" x14ac:dyDescent="0.25">
      <c r="D108" s="9"/>
      <c r="I108" s="2"/>
      <c r="J108" s="2"/>
      <c r="K108" s="2"/>
      <c r="L108" s="2"/>
    </row>
    <row r="109" spans="4:12" ht="15.75" customHeight="1" x14ac:dyDescent="0.25">
      <c r="D109" s="9"/>
      <c r="I109" s="2"/>
      <c r="J109" s="2"/>
      <c r="K109" s="2"/>
      <c r="L109" s="2"/>
    </row>
    <row r="110" spans="4:12" ht="15.75" customHeight="1" x14ac:dyDescent="0.25">
      <c r="D110" s="9"/>
      <c r="I110" s="2"/>
      <c r="J110" s="2"/>
      <c r="K110" s="2"/>
      <c r="L110" s="2"/>
    </row>
    <row r="111" spans="4:12" ht="15.75" customHeight="1" x14ac:dyDescent="0.25">
      <c r="D111" s="9"/>
      <c r="I111" s="2"/>
      <c r="J111" s="2"/>
      <c r="K111" s="2"/>
      <c r="L111" s="2"/>
    </row>
    <row r="112" spans="4:12" ht="15.75" customHeight="1" x14ac:dyDescent="0.25">
      <c r="D112" s="9"/>
      <c r="I112" s="2"/>
      <c r="J112" s="2"/>
      <c r="K112" s="2"/>
      <c r="L112" s="2"/>
    </row>
    <row r="113" spans="4:12" ht="15.75" customHeight="1" x14ac:dyDescent="0.25">
      <c r="D113" s="9"/>
      <c r="I113" s="2"/>
      <c r="J113" s="2"/>
      <c r="K113" s="2"/>
      <c r="L113" s="2"/>
    </row>
    <row r="114" spans="4:12" ht="15.75" customHeight="1" x14ac:dyDescent="0.25">
      <c r="D114" s="9"/>
      <c r="I114" s="2"/>
      <c r="J114" s="2"/>
      <c r="K114" s="2"/>
      <c r="L114" s="2"/>
    </row>
    <row r="115" spans="4:12" ht="15.75" customHeight="1" x14ac:dyDescent="0.25">
      <c r="D115" s="9"/>
      <c r="I115" s="2"/>
      <c r="J115" s="2"/>
      <c r="K115" s="2"/>
      <c r="L115" s="2"/>
    </row>
    <row r="116" spans="4:12" ht="15.75" customHeight="1" x14ac:dyDescent="0.25">
      <c r="D116" s="9"/>
      <c r="I116" s="2"/>
      <c r="J116" s="2"/>
      <c r="K116" s="2"/>
      <c r="L116" s="2"/>
    </row>
    <row r="117" spans="4:12" ht="15.75" customHeight="1" x14ac:dyDescent="0.25">
      <c r="D117" s="9"/>
      <c r="I117" s="2"/>
      <c r="J117" s="2"/>
      <c r="K117" s="2"/>
      <c r="L117" s="2"/>
    </row>
    <row r="118" spans="4:12" ht="15.75" customHeight="1" x14ac:dyDescent="0.25">
      <c r="D118" s="9"/>
      <c r="I118" s="2"/>
      <c r="J118" s="2"/>
      <c r="K118" s="2"/>
      <c r="L118" s="2"/>
    </row>
    <row r="119" spans="4:12" ht="15.75" customHeight="1" x14ac:dyDescent="0.25">
      <c r="D119" s="9"/>
      <c r="I119" s="2"/>
      <c r="J119" s="2"/>
      <c r="K119" s="2"/>
      <c r="L119" s="2"/>
    </row>
    <row r="120" spans="4:12" ht="15.75" customHeight="1" x14ac:dyDescent="0.25">
      <c r="D120" s="9"/>
      <c r="I120" s="2"/>
      <c r="J120" s="2"/>
      <c r="K120" s="2"/>
      <c r="L120" s="2"/>
    </row>
    <row r="121" spans="4:12" ht="15.75" customHeight="1" x14ac:dyDescent="0.25">
      <c r="D121" s="9"/>
      <c r="I121" s="2"/>
      <c r="J121" s="2"/>
      <c r="K121" s="2"/>
      <c r="L121" s="2"/>
    </row>
    <row r="122" spans="4:12" ht="15.75" customHeight="1" x14ac:dyDescent="0.25">
      <c r="D122" s="9"/>
      <c r="I122" s="2"/>
      <c r="J122" s="2"/>
      <c r="K122" s="2"/>
      <c r="L122" s="2"/>
    </row>
    <row r="123" spans="4:12" ht="15.75" customHeight="1" x14ac:dyDescent="0.25">
      <c r="D123" s="9"/>
      <c r="I123" s="2"/>
      <c r="J123" s="2"/>
      <c r="K123" s="2"/>
      <c r="L123" s="2"/>
    </row>
    <row r="124" spans="4:12" ht="15.75" customHeight="1" x14ac:dyDescent="0.25">
      <c r="D124" s="9"/>
      <c r="I124" s="2"/>
      <c r="J124" s="2"/>
      <c r="K124" s="2"/>
      <c r="L124" s="2"/>
    </row>
    <row r="125" spans="4:12" ht="15.75" customHeight="1" x14ac:dyDescent="0.25">
      <c r="D125" s="9"/>
      <c r="I125" s="2"/>
      <c r="J125" s="2"/>
      <c r="K125" s="2"/>
      <c r="L125" s="2"/>
    </row>
    <row r="126" spans="4:12" ht="15.75" customHeight="1" x14ac:dyDescent="0.25">
      <c r="D126" s="9"/>
      <c r="I126" s="2"/>
      <c r="J126" s="2"/>
      <c r="K126" s="2"/>
      <c r="L126" s="2"/>
    </row>
    <row r="127" spans="4:12" ht="15.75" customHeight="1" x14ac:dyDescent="0.25">
      <c r="D127" s="9"/>
      <c r="I127" s="2"/>
      <c r="J127" s="2"/>
      <c r="K127" s="2"/>
      <c r="L127" s="2"/>
    </row>
    <row r="128" spans="4:12" ht="15.75" customHeight="1" x14ac:dyDescent="0.25">
      <c r="D128" s="9"/>
      <c r="I128" s="2"/>
      <c r="J128" s="2"/>
      <c r="K128" s="2"/>
      <c r="L128" s="2"/>
    </row>
    <row r="129" spans="4:12" ht="15.75" customHeight="1" x14ac:dyDescent="0.25">
      <c r="D129" s="9"/>
      <c r="I129" s="2"/>
      <c r="J129" s="2"/>
      <c r="K129" s="2"/>
      <c r="L129" s="2"/>
    </row>
    <row r="130" spans="4:12" ht="15.75" customHeight="1" x14ac:dyDescent="0.25">
      <c r="D130" s="9"/>
      <c r="I130" s="2"/>
      <c r="J130" s="2"/>
      <c r="K130" s="2"/>
      <c r="L130" s="2"/>
    </row>
    <row r="131" spans="4:12" ht="15.75" customHeight="1" x14ac:dyDescent="0.25">
      <c r="D131" s="9"/>
      <c r="I131" s="2"/>
      <c r="J131" s="2"/>
      <c r="K131" s="2"/>
      <c r="L131" s="2"/>
    </row>
    <row r="132" spans="4:12" ht="15.75" customHeight="1" x14ac:dyDescent="0.25">
      <c r="D132" s="9"/>
      <c r="I132" s="2"/>
      <c r="J132" s="2"/>
      <c r="K132" s="2"/>
      <c r="L132" s="2"/>
    </row>
    <row r="133" spans="4:12" ht="15.75" customHeight="1" x14ac:dyDescent="0.25">
      <c r="D133" s="9"/>
      <c r="I133" s="2"/>
      <c r="J133" s="2"/>
      <c r="K133" s="2"/>
      <c r="L133" s="2"/>
    </row>
    <row r="134" spans="4:12" ht="15.75" customHeight="1" x14ac:dyDescent="0.25">
      <c r="D134" s="9"/>
      <c r="I134" s="2"/>
      <c r="J134" s="2"/>
      <c r="K134" s="2"/>
      <c r="L134" s="2"/>
    </row>
    <row r="135" spans="4:12" ht="15.75" customHeight="1" x14ac:dyDescent="0.25">
      <c r="D135" s="9"/>
      <c r="I135" s="2"/>
      <c r="J135" s="2"/>
      <c r="K135" s="2"/>
      <c r="L135" s="2"/>
    </row>
    <row r="136" spans="4:12" ht="15.75" customHeight="1" x14ac:dyDescent="0.25">
      <c r="D136" s="9"/>
      <c r="I136" s="2"/>
      <c r="J136" s="2"/>
      <c r="K136" s="2"/>
      <c r="L136" s="2"/>
    </row>
    <row r="137" spans="4:12" ht="15.75" customHeight="1" x14ac:dyDescent="0.25">
      <c r="D137" s="9"/>
      <c r="I137" s="2"/>
      <c r="J137" s="2"/>
      <c r="K137" s="2"/>
      <c r="L137" s="2"/>
    </row>
    <row r="138" spans="4:12" ht="15.75" customHeight="1" x14ac:dyDescent="0.25">
      <c r="D138" s="9"/>
      <c r="I138" s="2"/>
      <c r="J138" s="2"/>
      <c r="K138" s="2"/>
      <c r="L138" s="2"/>
    </row>
    <row r="139" spans="4:12" ht="15.75" customHeight="1" x14ac:dyDescent="0.25">
      <c r="D139" s="9"/>
      <c r="I139" s="2"/>
      <c r="J139" s="2"/>
      <c r="K139" s="2"/>
      <c r="L139" s="2"/>
    </row>
    <row r="140" spans="4:12" ht="15.75" customHeight="1" x14ac:dyDescent="0.25">
      <c r="D140" s="9"/>
      <c r="I140" s="2"/>
      <c r="J140" s="2"/>
      <c r="K140" s="2"/>
      <c r="L140" s="2"/>
    </row>
    <row r="141" spans="4:12" ht="15.75" customHeight="1" x14ac:dyDescent="0.25">
      <c r="D141" s="9"/>
      <c r="I141" s="2"/>
      <c r="J141" s="2"/>
      <c r="K141" s="2"/>
      <c r="L141" s="2"/>
    </row>
    <row r="142" spans="4:12" ht="15.75" customHeight="1" x14ac:dyDescent="0.25">
      <c r="D142" s="9"/>
      <c r="I142" s="2"/>
      <c r="J142" s="2"/>
      <c r="K142" s="2"/>
      <c r="L142" s="2"/>
    </row>
    <row r="143" spans="4:12" ht="15.75" customHeight="1" x14ac:dyDescent="0.25">
      <c r="D143" s="9"/>
      <c r="I143" s="2"/>
      <c r="J143" s="2"/>
      <c r="K143" s="2"/>
      <c r="L143" s="2"/>
    </row>
    <row r="144" spans="4:12" ht="15.75" customHeight="1" x14ac:dyDescent="0.25">
      <c r="D144" s="9"/>
      <c r="I144" s="2"/>
      <c r="J144" s="2"/>
      <c r="K144" s="2"/>
      <c r="L144" s="2"/>
    </row>
    <row r="145" spans="4:12" ht="15.75" customHeight="1" x14ac:dyDescent="0.25">
      <c r="D145" s="9"/>
      <c r="I145" s="2"/>
      <c r="J145" s="2"/>
      <c r="K145" s="2"/>
      <c r="L145" s="2"/>
    </row>
    <row r="146" spans="4:12" ht="15.75" customHeight="1" x14ac:dyDescent="0.25">
      <c r="D146" s="9"/>
      <c r="I146" s="2"/>
      <c r="J146" s="2"/>
      <c r="K146" s="2"/>
      <c r="L146" s="2"/>
    </row>
    <row r="147" spans="4:12" ht="15.75" customHeight="1" x14ac:dyDescent="0.25">
      <c r="D147" s="9"/>
      <c r="I147" s="2"/>
      <c r="J147" s="2"/>
      <c r="K147" s="2"/>
      <c r="L147" s="2"/>
    </row>
    <row r="148" spans="4:12" ht="15.75" customHeight="1" x14ac:dyDescent="0.25">
      <c r="D148" s="9"/>
      <c r="I148" s="2"/>
      <c r="J148" s="2"/>
      <c r="K148" s="2"/>
      <c r="L148" s="2"/>
    </row>
    <row r="149" spans="4:12" ht="15.75" customHeight="1" x14ac:dyDescent="0.25">
      <c r="D149" s="9"/>
      <c r="I149" s="2"/>
      <c r="J149" s="2"/>
      <c r="K149" s="2"/>
      <c r="L149" s="2"/>
    </row>
    <row r="150" spans="4:12" ht="15.75" customHeight="1" x14ac:dyDescent="0.25">
      <c r="D150" s="9"/>
      <c r="I150" s="2"/>
      <c r="J150" s="2"/>
      <c r="K150" s="2"/>
      <c r="L150" s="2"/>
    </row>
    <row r="151" spans="4:12" ht="15.75" customHeight="1" x14ac:dyDescent="0.25">
      <c r="D151" s="9"/>
      <c r="I151" s="2"/>
      <c r="J151" s="2"/>
      <c r="K151" s="2"/>
      <c r="L151" s="2"/>
    </row>
    <row r="152" spans="4:12" ht="15.75" customHeight="1" x14ac:dyDescent="0.25">
      <c r="D152" s="9"/>
      <c r="I152" s="2"/>
      <c r="J152" s="2"/>
      <c r="K152" s="2"/>
      <c r="L152" s="2"/>
    </row>
    <row r="153" spans="4:12" ht="15.75" customHeight="1" x14ac:dyDescent="0.25">
      <c r="D153" s="9"/>
      <c r="I153" s="2"/>
      <c r="J153" s="2"/>
      <c r="K153" s="2"/>
      <c r="L153" s="2"/>
    </row>
    <row r="154" spans="4:12" ht="15.75" customHeight="1" x14ac:dyDescent="0.25">
      <c r="D154" s="9"/>
      <c r="I154" s="2"/>
      <c r="J154" s="2"/>
      <c r="K154" s="2"/>
      <c r="L154" s="2"/>
    </row>
    <row r="155" spans="4:12" ht="15.75" customHeight="1" x14ac:dyDescent="0.25">
      <c r="D155" s="9"/>
      <c r="I155" s="2"/>
      <c r="J155" s="2"/>
      <c r="K155" s="2"/>
      <c r="L155" s="2"/>
    </row>
    <row r="156" spans="4:12" ht="15.75" customHeight="1" x14ac:dyDescent="0.25">
      <c r="D156" s="9"/>
      <c r="I156" s="2"/>
      <c r="J156" s="2"/>
      <c r="K156" s="2"/>
      <c r="L156" s="2"/>
    </row>
    <row r="157" spans="4:12" ht="15.75" customHeight="1" x14ac:dyDescent="0.25">
      <c r="D157" s="9"/>
      <c r="I157" s="2"/>
      <c r="J157" s="2"/>
      <c r="K157" s="2"/>
      <c r="L157" s="2"/>
    </row>
    <row r="158" spans="4:12" ht="15.75" customHeight="1" x14ac:dyDescent="0.25">
      <c r="D158" s="9"/>
      <c r="I158" s="2"/>
      <c r="J158" s="2"/>
      <c r="K158" s="2"/>
      <c r="L158" s="2"/>
    </row>
    <row r="159" spans="4:12" ht="15.75" customHeight="1" x14ac:dyDescent="0.25">
      <c r="D159" s="9"/>
      <c r="I159" s="2"/>
      <c r="J159" s="2"/>
      <c r="K159" s="2"/>
      <c r="L159" s="2"/>
    </row>
    <row r="160" spans="4:12" ht="15.75" customHeight="1" x14ac:dyDescent="0.25">
      <c r="D160" s="9"/>
      <c r="I160" s="2"/>
      <c r="J160" s="2"/>
      <c r="K160" s="2"/>
      <c r="L160" s="2"/>
    </row>
    <row r="161" spans="4:12" ht="15.75" customHeight="1" x14ac:dyDescent="0.25">
      <c r="D161" s="9"/>
      <c r="I161" s="2"/>
      <c r="J161" s="2"/>
      <c r="K161" s="2"/>
      <c r="L161" s="2"/>
    </row>
    <row r="162" spans="4:12" ht="15.75" customHeight="1" x14ac:dyDescent="0.25">
      <c r="D162" s="9"/>
      <c r="I162" s="2"/>
      <c r="J162" s="2"/>
      <c r="K162" s="2"/>
      <c r="L162" s="2"/>
    </row>
    <row r="163" spans="4:12" ht="15.75" customHeight="1" x14ac:dyDescent="0.25">
      <c r="D163" s="9"/>
      <c r="I163" s="2"/>
      <c r="J163" s="2"/>
      <c r="K163" s="2"/>
      <c r="L163" s="2"/>
    </row>
    <row r="164" spans="4:12" ht="15.75" customHeight="1" x14ac:dyDescent="0.25">
      <c r="D164" s="9"/>
      <c r="I164" s="2"/>
      <c r="J164" s="2"/>
      <c r="K164" s="2"/>
      <c r="L164" s="2"/>
    </row>
    <row r="165" spans="4:12" ht="15.75" customHeight="1" x14ac:dyDescent="0.25">
      <c r="D165" s="9"/>
      <c r="I165" s="2"/>
      <c r="J165" s="2"/>
      <c r="K165" s="2"/>
      <c r="L165" s="2"/>
    </row>
    <row r="166" spans="4:12" ht="15.75" customHeight="1" x14ac:dyDescent="0.25">
      <c r="D166" s="9"/>
      <c r="I166" s="2"/>
      <c r="J166" s="2"/>
      <c r="K166" s="2"/>
      <c r="L166" s="2"/>
    </row>
    <row r="167" spans="4:12" ht="15.75" customHeight="1" x14ac:dyDescent="0.25">
      <c r="D167" s="9"/>
      <c r="I167" s="2"/>
      <c r="J167" s="2"/>
      <c r="K167" s="2"/>
      <c r="L167" s="2"/>
    </row>
    <row r="168" spans="4:12" ht="15.75" customHeight="1" x14ac:dyDescent="0.25">
      <c r="D168" s="9"/>
      <c r="I168" s="2"/>
      <c r="J168" s="2"/>
      <c r="K168" s="2"/>
      <c r="L168" s="2"/>
    </row>
    <row r="169" spans="4:12" ht="15.75" customHeight="1" x14ac:dyDescent="0.25">
      <c r="D169" s="9"/>
      <c r="I169" s="2"/>
      <c r="J169" s="2"/>
      <c r="K169" s="2"/>
      <c r="L169" s="2"/>
    </row>
    <row r="170" spans="4:12" ht="15.75" customHeight="1" x14ac:dyDescent="0.25">
      <c r="D170" s="9"/>
      <c r="I170" s="2"/>
      <c r="J170" s="2"/>
      <c r="K170" s="2"/>
      <c r="L170" s="2"/>
    </row>
    <row r="171" spans="4:12" ht="15.75" customHeight="1" x14ac:dyDescent="0.25">
      <c r="D171" s="9"/>
      <c r="I171" s="2"/>
      <c r="J171" s="2"/>
      <c r="K171" s="2"/>
      <c r="L171" s="2"/>
    </row>
    <row r="172" spans="4:12" ht="15.75" customHeight="1" x14ac:dyDescent="0.25">
      <c r="D172" s="9"/>
      <c r="I172" s="2"/>
      <c r="J172" s="2"/>
      <c r="K172" s="2"/>
      <c r="L172" s="2"/>
    </row>
    <row r="173" spans="4:12" ht="15.75" customHeight="1" x14ac:dyDescent="0.25">
      <c r="D173" s="9"/>
      <c r="I173" s="2"/>
      <c r="J173" s="2"/>
      <c r="K173" s="2"/>
      <c r="L173" s="2"/>
    </row>
    <row r="174" spans="4:12" ht="15.75" customHeight="1" x14ac:dyDescent="0.25">
      <c r="D174" s="9"/>
      <c r="I174" s="2"/>
      <c r="J174" s="2"/>
      <c r="K174" s="2"/>
      <c r="L174" s="2"/>
    </row>
    <row r="175" spans="4:12" ht="15.75" customHeight="1" x14ac:dyDescent="0.25">
      <c r="D175" s="9"/>
      <c r="I175" s="2"/>
      <c r="J175" s="2"/>
      <c r="K175" s="2"/>
      <c r="L175" s="2"/>
    </row>
    <row r="176" spans="4:12" ht="15.75" customHeight="1" x14ac:dyDescent="0.25">
      <c r="D176" s="9"/>
      <c r="I176" s="2"/>
      <c r="J176" s="2"/>
      <c r="K176" s="2"/>
      <c r="L176" s="2"/>
    </row>
    <row r="177" spans="4:12" ht="15.75" customHeight="1" x14ac:dyDescent="0.25">
      <c r="D177" s="9"/>
      <c r="I177" s="2"/>
      <c r="J177" s="2"/>
      <c r="K177" s="2"/>
      <c r="L177" s="2"/>
    </row>
    <row r="178" spans="4:12" ht="15.75" customHeight="1" x14ac:dyDescent="0.25">
      <c r="D178" s="9"/>
      <c r="I178" s="2"/>
      <c r="J178" s="2"/>
      <c r="K178" s="2"/>
      <c r="L178" s="2"/>
    </row>
    <row r="179" spans="4:12" ht="15.75" customHeight="1" x14ac:dyDescent="0.25">
      <c r="D179" s="9"/>
      <c r="I179" s="2"/>
      <c r="J179" s="2"/>
      <c r="K179" s="2"/>
      <c r="L179" s="2"/>
    </row>
    <row r="180" spans="4:12" ht="15.75" customHeight="1" x14ac:dyDescent="0.25">
      <c r="D180" s="9"/>
      <c r="I180" s="2"/>
      <c r="J180" s="2"/>
      <c r="K180" s="2"/>
      <c r="L180" s="2"/>
    </row>
    <row r="181" spans="4:12" ht="15.75" customHeight="1" x14ac:dyDescent="0.25">
      <c r="D181" s="9"/>
      <c r="I181" s="2"/>
      <c r="J181" s="2"/>
      <c r="K181" s="2"/>
      <c r="L181" s="2"/>
    </row>
    <row r="182" spans="4:12" ht="15.75" customHeight="1" x14ac:dyDescent="0.25">
      <c r="D182" s="9"/>
      <c r="I182" s="2"/>
      <c r="J182" s="2"/>
      <c r="K182" s="2"/>
      <c r="L182" s="2"/>
    </row>
    <row r="183" spans="4:12" ht="15.75" customHeight="1" x14ac:dyDescent="0.25">
      <c r="D183" s="9"/>
      <c r="I183" s="2"/>
      <c r="J183" s="2"/>
      <c r="K183" s="2"/>
      <c r="L183" s="2"/>
    </row>
    <row r="184" spans="4:12" ht="15.75" customHeight="1" x14ac:dyDescent="0.25">
      <c r="D184" s="9"/>
      <c r="I184" s="2"/>
      <c r="J184" s="2"/>
      <c r="K184" s="2"/>
      <c r="L184" s="2"/>
    </row>
    <row r="185" spans="4:12" ht="15.75" customHeight="1" x14ac:dyDescent="0.25">
      <c r="D185" s="9"/>
      <c r="I185" s="2"/>
      <c r="J185" s="2"/>
      <c r="K185" s="2"/>
      <c r="L185" s="2"/>
    </row>
    <row r="186" spans="4:12" ht="15.75" customHeight="1" x14ac:dyDescent="0.25">
      <c r="D186" s="9"/>
      <c r="I186" s="2"/>
      <c r="J186" s="2"/>
      <c r="K186" s="2"/>
      <c r="L186" s="2"/>
    </row>
    <row r="187" spans="4:12" ht="15.75" customHeight="1" x14ac:dyDescent="0.25">
      <c r="D187" s="9"/>
      <c r="I187" s="2"/>
      <c r="J187" s="2"/>
      <c r="K187" s="2"/>
      <c r="L187" s="2"/>
    </row>
    <row r="188" spans="4:12" ht="15.75" customHeight="1" x14ac:dyDescent="0.25">
      <c r="D188" s="9"/>
      <c r="I188" s="2"/>
      <c r="J188" s="2"/>
      <c r="K188" s="2"/>
      <c r="L188" s="2"/>
    </row>
    <row r="189" spans="4:12" ht="15.75" customHeight="1" x14ac:dyDescent="0.25">
      <c r="D189" s="9"/>
      <c r="I189" s="2"/>
      <c r="J189" s="2"/>
      <c r="K189" s="2"/>
      <c r="L189" s="2"/>
    </row>
    <row r="190" spans="4:12" ht="15.75" customHeight="1" x14ac:dyDescent="0.25">
      <c r="D190" s="9"/>
      <c r="I190" s="2"/>
      <c r="J190" s="2"/>
      <c r="K190" s="2"/>
      <c r="L190" s="2"/>
    </row>
    <row r="191" spans="4:12" ht="15.75" customHeight="1" x14ac:dyDescent="0.25">
      <c r="D191" s="9"/>
      <c r="I191" s="2"/>
      <c r="J191" s="2"/>
      <c r="K191" s="2"/>
      <c r="L191" s="2"/>
    </row>
    <row r="192" spans="4:12" ht="15.75" customHeight="1" x14ac:dyDescent="0.25">
      <c r="D192" s="9"/>
      <c r="I192" s="2"/>
      <c r="J192" s="2"/>
      <c r="K192" s="2"/>
      <c r="L192" s="2"/>
    </row>
    <row r="193" spans="4:12" ht="15.75" customHeight="1" x14ac:dyDescent="0.25">
      <c r="D193" s="9"/>
      <c r="I193" s="2"/>
      <c r="J193" s="2"/>
      <c r="K193" s="2"/>
      <c r="L193" s="2"/>
    </row>
    <row r="194" spans="4:12" ht="15.75" customHeight="1" x14ac:dyDescent="0.25">
      <c r="D194" s="9"/>
      <c r="I194" s="2"/>
      <c r="J194" s="2"/>
      <c r="K194" s="2"/>
      <c r="L194" s="2"/>
    </row>
    <row r="195" spans="4:12" ht="15.75" customHeight="1" x14ac:dyDescent="0.25">
      <c r="D195" s="9"/>
      <c r="I195" s="2"/>
      <c r="J195" s="2"/>
      <c r="K195" s="2"/>
      <c r="L195" s="2"/>
    </row>
    <row r="196" spans="4:12" ht="15.75" customHeight="1" x14ac:dyDescent="0.25">
      <c r="D196" s="9"/>
      <c r="I196" s="2"/>
      <c r="J196" s="2"/>
      <c r="K196" s="2"/>
      <c r="L196" s="2"/>
    </row>
    <row r="197" spans="4:12" ht="15.75" customHeight="1" x14ac:dyDescent="0.25">
      <c r="D197" s="9"/>
      <c r="I197" s="2"/>
      <c r="J197" s="2"/>
      <c r="K197" s="2"/>
      <c r="L197" s="2"/>
    </row>
    <row r="198" spans="4:12" ht="15.75" customHeight="1" x14ac:dyDescent="0.25">
      <c r="D198" s="9"/>
      <c r="I198" s="2"/>
      <c r="J198" s="2"/>
      <c r="K198" s="2"/>
      <c r="L198" s="2"/>
    </row>
    <row r="199" spans="4:12" ht="15.75" customHeight="1" x14ac:dyDescent="0.25">
      <c r="D199" s="9"/>
      <c r="I199" s="2"/>
      <c r="J199" s="2"/>
      <c r="K199" s="2"/>
      <c r="L199" s="2"/>
    </row>
    <row r="200" spans="4:12" ht="15.75" customHeight="1" x14ac:dyDescent="0.25">
      <c r="D200" s="9"/>
      <c r="I200" s="2"/>
      <c r="J200" s="2"/>
      <c r="K200" s="2"/>
      <c r="L200" s="2"/>
    </row>
    <row r="201" spans="4:12" ht="15.75" customHeight="1" x14ac:dyDescent="0.25">
      <c r="D201" s="9"/>
      <c r="I201" s="2"/>
      <c r="J201" s="2"/>
      <c r="K201" s="2"/>
      <c r="L201" s="2"/>
    </row>
    <row r="202" spans="4:12" ht="15.75" customHeight="1" x14ac:dyDescent="0.25">
      <c r="D202" s="9"/>
      <c r="I202" s="2"/>
      <c r="J202" s="2"/>
      <c r="K202" s="2"/>
      <c r="L202" s="2"/>
    </row>
    <row r="203" spans="4:12" ht="15.75" customHeight="1" x14ac:dyDescent="0.25">
      <c r="D203" s="9"/>
      <c r="I203" s="2"/>
      <c r="J203" s="2"/>
      <c r="K203" s="2"/>
      <c r="L203" s="2"/>
    </row>
    <row r="204" spans="4:12" ht="15.75" customHeight="1" x14ac:dyDescent="0.25">
      <c r="D204" s="9"/>
      <c r="I204" s="2"/>
      <c r="J204" s="2"/>
      <c r="K204" s="2"/>
      <c r="L204" s="2"/>
    </row>
    <row r="205" spans="4:12" ht="15.75" customHeight="1" x14ac:dyDescent="0.25">
      <c r="D205" s="9"/>
      <c r="I205" s="2"/>
      <c r="J205" s="2"/>
      <c r="K205" s="2"/>
      <c r="L205" s="2"/>
    </row>
    <row r="206" spans="4:12" ht="15.75" customHeight="1" x14ac:dyDescent="0.25">
      <c r="D206" s="9"/>
      <c r="I206" s="2"/>
      <c r="J206" s="2"/>
      <c r="K206" s="2"/>
      <c r="L206" s="2"/>
    </row>
    <row r="207" spans="4:12" ht="15.75" customHeight="1" x14ac:dyDescent="0.25">
      <c r="D207" s="9"/>
      <c r="I207" s="2"/>
      <c r="J207" s="2"/>
      <c r="K207" s="2"/>
      <c r="L207" s="2"/>
    </row>
    <row r="208" spans="4:12" ht="15.75" customHeight="1" x14ac:dyDescent="0.25">
      <c r="D208" s="9"/>
      <c r="I208" s="2"/>
      <c r="J208" s="2"/>
      <c r="K208" s="2"/>
      <c r="L208" s="2"/>
    </row>
    <row r="209" spans="4:12" ht="15.75" customHeight="1" x14ac:dyDescent="0.25">
      <c r="D209" s="9"/>
      <c r="I209" s="2"/>
      <c r="J209" s="2"/>
      <c r="K209" s="2"/>
      <c r="L209" s="2"/>
    </row>
    <row r="210" spans="4:12" ht="15.75" customHeight="1" x14ac:dyDescent="0.25">
      <c r="D210" s="9"/>
      <c r="I210" s="2"/>
      <c r="J210" s="2"/>
      <c r="K210" s="2"/>
      <c r="L210" s="2"/>
    </row>
    <row r="211" spans="4:12" ht="15.75" customHeight="1" x14ac:dyDescent="0.25">
      <c r="D211" s="9"/>
      <c r="I211" s="2"/>
      <c r="J211" s="2"/>
      <c r="K211" s="2"/>
      <c r="L211" s="2"/>
    </row>
    <row r="212" spans="4:12" ht="15.75" customHeight="1" x14ac:dyDescent="0.25">
      <c r="D212" s="9"/>
      <c r="I212" s="2"/>
      <c r="J212" s="2"/>
      <c r="K212" s="2"/>
      <c r="L212" s="2"/>
    </row>
    <row r="213" spans="4:12" ht="15.75" customHeight="1" x14ac:dyDescent="0.25">
      <c r="D213" s="9"/>
      <c r="I213" s="2"/>
      <c r="J213" s="2"/>
      <c r="K213" s="2"/>
      <c r="L213" s="2"/>
    </row>
    <row r="214" spans="4:12" ht="15.75" customHeight="1" x14ac:dyDescent="0.25">
      <c r="D214" s="9"/>
      <c r="I214" s="2"/>
      <c r="J214" s="2"/>
      <c r="K214" s="2"/>
      <c r="L214" s="2"/>
    </row>
    <row r="215" spans="4:12" ht="15.75" customHeight="1" x14ac:dyDescent="0.25">
      <c r="D215" s="9"/>
      <c r="I215" s="2"/>
      <c r="J215" s="2"/>
      <c r="K215" s="2"/>
      <c r="L215" s="2"/>
    </row>
    <row r="216" spans="4:12" ht="15.75" customHeight="1" x14ac:dyDescent="0.25">
      <c r="D216" s="9"/>
      <c r="I216" s="2"/>
      <c r="J216" s="2"/>
      <c r="K216" s="2"/>
      <c r="L216" s="2"/>
    </row>
    <row r="217" spans="4:12" ht="15.75" customHeight="1" x14ac:dyDescent="0.25">
      <c r="D217" s="9"/>
      <c r="I217" s="2"/>
      <c r="J217" s="2"/>
      <c r="K217" s="2"/>
      <c r="L217" s="2"/>
    </row>
    <row r="218" spans="4:12" ht="15.75" customHeight="1" x14ac:dyDescent="0.25">
      <c r="D218" s="9"/>
      <c r="I218" s="2"/>
      <c r="J218" s="2"/>
      <c r="K218" s="2"/>
      <c r="L218" s="2"/>
    </row>
    <row r="219" spans="4:12" ht="15.75" customHeight="1" x14ac:dyDescent="0.25">
      <c r="D219" s="9"/>
      <c r="I219" s="2"/>
      <c r="J219" s="2"/>
      <c r="K219" s="2"/>
      <c r="L219" s="2"/>
    </row>
    <row r="220" spans="4:12" ht="15.75" customHeight="1" x14ac:dyDescent="0.25">
      <c r="D220" s="9"/>
      <c r="I220" s="2"/>
      <c r="J220" s="2"/>
      <c r="K220" s="2"/>
      <c r="L220" s="2"/>
    </row>
    <row r="221" spans="4:12" ht="15.75" customHeight="1" x14ac:dyDescent="0.25">
      <c r="D221" s="9"/>
      <c r="I221" s="2"/>
      <c r="J221" s="2"/>
      <c r="K221" s="2"/>
      <c r="L221" s="2"/>
    </row>
    <row r="222" spans="4:12" ht="15.75" customHeight="1" x14ac:dyDescent="0.25">
      <c r="D222" s="9"/>
      <c r="I222" s="2"/>
      <c r="J222" s="2"/>
      <c r="K222" s="2"/>
      <c r="L222" s="2"/>
    </row>
    <row r="223" spans="4:12" ht="15.75" customHeight="1" x14ac:dyDescent="0.25">
      <c r="D223" s="9"/>
      <c r="I223" s="2"/>
      <c r="J223" s="2"/>
      <c r="K223" s="2"/>
      <c r="L223" s="2"/>
    </row>
    <row r="224" spans="4:12" ht="15.75" customHeight="1" x14ac:dyDescent="0.25">
      <c r="D224" s="9"/>
      <c r="I224" s="2"/>
      <c r="J224" s="2"/>
      <c r="K224" s="2"/>
      <c r="L224" s="2"/>
    </row>
    <row r="225" spans="4:12" ht="15.75" customHeight="1" x14ac:dyDescent="0.25">
      <c r="D225" s="9"/>
      <c r="I225" s="2"/>
      <c r="J225" s="2"/>
      <c r="K225" s="2"/>
      <c r="L225" s="2"/>
    </row>
    <row r="226" spans="4:12" ht="15.75" customHeight="1" x14ac:dyDescent="0.25">
      <c r="D226" s="9"/>
      <c r="I226" s="2"/>
      <c r="J226" s="2"/>
      <c r="K226" s="2"/>
      <c r="L226" s="2"/>
    </row>
    <row r="227" spans="4:12" ht="15.75" customHeight="1" x14ac:dyDescent="0.25">
      <c r="D227" s="9"/>
      <c r="I227" s="2"/>
      <c r="J227" s="2"/>
      <c r="K227" s="2"/>
      <c r="L227" s="2"/>
    </row>
    <row r="228" spans="4:12" ht="15.75" customHeight="1" x14ac:dyDescent="0.25">
      <c r="D228" s="9"/>
      <c r="I228" s="2"/>
      <c r="J228" s="2"/>
      <c r="K228" s="2"/>
      <c r="L228" s="2"/>
    </row>
    <row r="229" spans="4:12" ht="15.75" customHeight="1" x14ac:dyDescent="0.25">
      <c r="D229" s="9"/>
      <c r="I229" s="2"/>
      <c r="J229" s="2"/>
      <c r="K229" s="2"/>
      <c r="L229" s="2"/>
    </row>
    <row r="230" spans="4:12" ht="15.75" customHeight="1" x14ac:dyDescent="0.25">
      <c r="D230" s="9"/>
      <c r="I230" s="2"/>
      <c r="J230" s="2"/>
      <c r="K230" s="2"/>
      <c r="L230" s="2"/>
    </row>
    <row r="231" spans="4:12" ht="15.75" customHeight="1" x14ac:dyDescent="0.25">
      <c r="D231" s="9"/>
      <c r="I231" s="2"/>
      <c r="J231" s="2"/>
      <c r="K231" s="2"/>
      <c r="L231" s="2"/>
    </row>
    <row r="232" spans="4:12" ht="15.75" customHeight="1" x14ac:dyDescent="0.25">
      <c r="D232" s="60"/>
      <c r="I232" s="2"/>
      <c r="J232" s="2"/>
      <c r="K232" s="2"/>
      <c r="L232" s="2"/>
    </row>
    <row r="233" spans="4:12" ht="15.75" customHeight="1" x14ac:dyDescent="0.25">
      <c r="I233" s="2"/>
      <c r="J233" s="2"/>
      <c r="K233" s="2"/>
      <c r="L233" s="2"/>
    </row>
    <row r="234" spans="4:12" ht="15.75" customHeight="1" x14ac:dyDescent="0.25">
      <c r="I234" s="2"/>
      <c r="J234" s="2"/>
      <c r="K234" s="2"/>
      <c r="L234" s="2"/>
    </row>
    <row r="235" spans="4:12" ht="15.75" customHeight="1" x14ac:dyDescent="0.25">
      <c r="I235" s="2"/>
      <c r="J235" s="2"/>
      <c r="K235" s="2"/>
      <c r="L235" s="2"/>
    </row>
    <row r="236" spans="4:12" ht="15.75" customHeight="1" x14ac:dyDescent="0.25">
      <c r="I236" s="2"/>
      <c r="J236" s="2"/>
      <c r="K236" s="2"/>
      <c r="L236" s="2"/>
    </row>
    <row r="237" spans="4:12" ht="15.75" customHeight="1" x14ac:dyDescent="0.25">
      <c r="I237" s="2"/>
      <c r="J237" s="2"/>
      <c r="K237" s="2"/>
      <c r="L237" s="2"/>
    </row>
    <row r="238" spans="4:12" ht="15.75" customHeight="1" x14ac:dyDescent="0.25">
      <c r="I238" s="2"/>
      <c r="J238" s="2"/>
      <c r="K238" s="2"/>
      <c r="L238" s="2"/>
    </row>
    <row r="239" spans="4:12" ht="15.75" customHeight="1" x14ac:dyDescent="0.25">
      <c r="I239" s="2"/>
      <c r="J239" s="2"/>
      <c r="K239" s="2"/>
      <c r="L239" s="2"/>
    </row>
    <row r="240" spans="4:12" ht="15.75" customHeight="1" x14ac:dyDescent="0.25">
      <c r="I240" s="2"/>
      <c r="J240" s="2"/>
      <c r="K240" s="2"/>
      <c r="L240" s="2"/>
    </row>
    <row r="241" spans="9:12" ht="15.75" customHeight="1" x14ac:dyDescent="0.25">
      <c r="I241" s="2"/>
      <c r="J241" s="2"/>
      <c r="K241" s="2"/>
      <c r="L241" s="2"/>
    </row>
    <row r="242" spans="9:12" ht="15.75" customHeight="1" x14ac:dyDescent="0.25">
      <c r="I242" s="2"/>
      <c r="J242" s="2"/>
      <c r="K242" s="2"/>
      <c r="L242" s="2"/>
    </row>
    <row r="243" spans="9:12" ht="15.75" customHeight="1" x14ac:dyDescent="0.25">
      <c r="I243" s="2"/>
      <c r="J243" s="2"/>
      <c r="K243" s="2"/>
      <c r="L243" s="2"/>
    </row>
    <row r="244" spans="9:12" ht="15.75" customHeight="1" x14ac:dyDescent="0.25">
      <c r="I244" s="2"/>
      <c r="J244" s="2"/>
      <c r="K244" s="2"/>
      <c r="L244" s="2"/>
    </row>
    <row r="245" spans="9:12" ht="15.75" customHeight="1" x14ac:dyDescent="0.25">
      <c r="I245" s="2"/>
      <c r="J245" s="2"/>
      <c r="K245" s="2"/>
      <c r="L245" s="2"/>
    </row>
    <row r="246" spans="9:12" ht="15.75" customHeight="1" x14ac:dyDescent="0.25">
      <c r="I246" s="2"/>
      <c r="J246" s="2"/>
      <c r="K246" s="2"/>
      <c r="L246" s="2"/>
    </row>
    <row r="247" spans="9:12" ht="15.75" customHeight="1" x14ac:dyDescent="0.25">
      <c r="I247" s="2"/>
      <c r="J247" s="2"/>
      <c r="K247" s="2"/>
      <c r="L247" s="2"/>
    </row>
    <row r="248" spans="9:12" ht="15.75" customHeight="1" x14ac:dyDescent="0.25">
      <c r="I248" s="2"/>
      <c r="J248" s="2"/>
      <c r="K248" s="2"/>
      <c r="L248" s="2"/>
    </row>
    <row r="249" spans="9:12" ht="15.75" customHeight="1" x14ac:dyDescent="0.25">
      <c r="I249" s="2"/>
      <c r="J249" s="2"/>
      <c r="K249" s="2"/>
      <c r="L249" s="2"/>
    </row>
    <row r="250" spans="9:12" ht="15.75" customHeight="1" x14ac:dyDescent="0.25">
      <c r="I250" s="2"/>
      <c r="J250" s="2"/>
      <c r="K250" s="2"/>
      <c r="L250" s="2"/>
    </row>
    <row r="251" spans="9:12" ht="15.75" customHeight="1" x14ac:dyDescent="0.25">
      <c r="I251" s="2"/>
      <c r="J251" s="2"/>
      <c r="K251" s="2"/>
      <c r="L251" s="2"/>
    </row>
    <row r="252" spans="9:12" ht="15.75" customHeight="1" x14ac:dyDescent="0.25">
      <c r="I252" s="2"/>
      <c r="J252" s="2"/>
      <c r="K252" s="2"/>
      <c r="L252" s="2"/>
    </row>
    <row r="253" spans="9:12" ht="15.75" customHeight="1" x14ac:dyDescent="0.25">
      <c r="I253" s="2"/>
      <c r="J253" s="2"/>
      <c r="K253" s="2"/>
      <c r="L253" s="2"/>
    </row>
    <row r="254" spans="9:12" ht="15.75" customHeight="1" x14ac:dyDescent="0.25">
      <c r="I254" s="2"/>
      <c r="J254" s="2"/>
      <c r="K254" s="2"/>
      <c r="L254" s="2"/>
    </row>
    <row r="255" spans="9:12" ht="15.75" customHeight="1" x14ac:dyDescent="0.25">
      <c r="I255" s="2"/>
      <c r="J255" s="2"/>
      <c r="K255" s="2"/>
      <c r="L255" s="2"/>
    </row>
    <row r="256" spans="9:12" ht="15.75" customHeight="1" x14ac:dyDescent="0.25">
      <c r="I256" s="2"/>
      <c r="J256" s="2"/>
      <c r="K256" s="2"/>
      <c r="L256" s="2"/>
    </row>
    <row r="257" spans="9:12" ht="15.75" customHeight="1" x14ac:dyDescent="0.25">
      <c r="I257" s="2"/>
      <c r="J257" s="2"/>
      <c r="K257" s="2"/>
      <c r="L257" s="2"/>
    </row>
    <row r="258" spans="9:12" ht="15.75" customHeight="1" x14ac:dyDescent="0.25">
      <c r="I258" s="2"/>
      <c r="J258" s="2"/>
      <c r="K258" s="2"/>
      <c r="L258" s="2"/>
    </row>
    <row r="259" spans="9:12" ht="15.75" customHeight="1" x14ac:dyDescent="0.25">
      <c r="I259" s="2"/>
      <c r="J259" s="2"/>
      <c r="K259" s="2"/>
      <c r="L259" s="2"/>
    </row>
    <row r="260" spans="9:12" ht="15.75" customHeight="1" x14ac:dyDescent="0.25">
      <c r="I260" s="2"/>
      <c r="J260" s="2"/>
      <c r="K260" s="2"/>
      <c r="L260" s="2"/>
    </row>
    <row r="261" spans="9:12" ht="15.75" customHeight="1" x14ac:dyDescent="0.25">
      <c r="I261" s="2"/>
      <c r="J261" s="2"/>
      <c r="K261" s="2"/>
      <c r="L261" s="2"/>
    </row>
    <row r="262" spans="9:12" ht="15.75" customHeight="1" x14ac:dyDescent="0.25">
      <c r="I262" s="2"/>
      <c r="J262" s="2"/>
      <c r="K262" s="2"/>
      <c r="L262" s="2"/>
    </row>
    <row r="263" spans="9:12" ht="15.75" customHeight="1" x14ac:dyDescent="0.25">
      <c r="I263" s="2"/>
      <c r="J263" s="2"/>
      <c r="K263" s="2"/>
      <c r="L263" s="2"/>
    </row>
    <row r="264" spans="9:12" ht="15.75" customHeight="1" x14ac:dyDescent="0.25">
      <c r="I264" s="2"/>
      <c r="J264" s="2"/>
      <c r="K264" s="2"/>
      <c r="L264" s="2"/>
    </row>
    <row r="265" spans="9:12" ht="15.75" customHeight="1" x14ac:dyDescent="0.25">
      <c r="I265" s="2"/>
      <c r="J265" s="2"/>
      <c r="K265" s="2"/>
      <c r="L265" s="2"/>
    </row>
    <row r="266" spans="9:12" ht="15.75" customHeight="1" x14ac:dyDescent="0.25">
      <c r="I266" s="2"/>
      <c r="J266" s="2"/>
      <c r="K266" s="2"/>
      <c r="L266" s="2"/>
    </row>
    <row r="267" spans="9:12" ht="15.75" customHeight="1" x14ac:dyDescent="0.25">
      <c r="I267" s="2"/>
      <c r="J267" s="2"/>
      <c r="K267" s="2"/>
      <c r="L267" s="2"/>
    </row>
    <row r="268" spans="9:12" ht="15.75" customHeight="1" x14ac:dyDescent="0.25">
      <c r="I268" s="2"/>
      <c r="J268" s="2"/>
      <c r="K268" s="2"/>
      <c r="L268" s="2"/>
    </row>
    <row r="269" spans="9:12" ht="15.75" customHeight="1" x14ac:dyDescent="0.25">
      <c r="I269" s="2"/>
      <c r="J269" s="2"/>
      <c r="K269" s="2"/>
      <c r="L269" s="2"/>
    </row>
    <row r="270" spans="9:12" ht="15.75" customHeight="1" x14ac:dyDescent="0.25">
      <c r="I270" s="2"/>
      <c r="J270" s="2"/>
      <c r="K270" s="2"/>
      <c r="L270" s="2"/>
    </row>
    <row r="271" spans="9:12" ht="15.75" customHeight="1" x14ac:dyDescent="0.25">
      <c r="I271" s="2"/>
      <c r="J271" s="2"/>
      <c r="K271" s="2"/>
      <c r="L271" s="2"/>
    </row>
    <row r="272" spans="9:12" ht="15.75" customHeight="1" x14ac:dyDescent="0.25">
      <c r="I272" s="2"/>
      <c r="J272" s="2"/>
      <c r="K272" s="2"/>
      <c r="L272" s="2"/>
    </row>
    <row r="273" spans="9:12" ht="15.75" customHeight="1" x14ac:dyDescent="0.25">
      <c r="I273" s="2"/>
      <c r="J273" s="2"/>
      <c r="K273" s="2"/>
      <c r="L273" s="2"/>
    </row>
    <row r="274" spans="9:12" ht="15.75" customHeight="1" x14ac:dyDescent="0.25">
      <c r="I274" s="2"/>
      <c r="J274" s="2"/>
      <c r="K274" s="2"/>
      <c r="L274" s="2"/>
    </row>
    <row r="275" spans="9:12" ht="15.75" customHeight="1" x14ac:dyDescent="0.25">
      <c r="I275" s="2"/>
      <c r="J275" s="2"/>
      <c r="K275" s="2"/>
      <c r="L275" s="2"/>
    </row>
    <row r="276" spans="9:12" ht="15.75" customHeight="1" x14ac:dyDescent="0.25">
      <c r="I276" s="2"/>
      <c r="J276" s="2"/>
      <c r="K276" s="2"/>
      <c r="L276" s="2"/>
    </row>
    <row r="277" spans="9:12" ht="15.75" customHeight="1" x14ac:dyDescent="0.25">
      <c r="I277" s="2"/>
      <c r="J277" s="2"/>
      <c r="K277" s="2"/>
      <c r="L277" s="2"/>
    </row>
    <row r="278" spans="9:12" ht="15.75" customHeight="1" x14ac:dyDescent="0.25">
      <c r="I278" s="2"/>
      <c r="J278" s="2"/>
      <c r="K278" s="2"/>
      <c r="L278" s="2"/>
    </row>
    <row r="279" spans="9:12" ht="15.75" customHeight="1" x14ac:dyDescent="0.25">
      <c r="I279" s="2"/>
      <c r="J279" s="2"/>
      <c r="K279" s="2"/>
      <c r="L279" s="2"/>
    </row>
    <row r="280" spans="9:12" ht="15.75" customHeight="1" x14ac:dyDescent="0.25">
      <c r="I280" s="2"/>
      <c r="J280" s="2"/>
      <c r="K280" s="2"/>
      <c r="L280" s="2"/>
    </row>
    <row r="281" spans="9:12" ht="15.75" customHeight="1" x14ac:dyDescent="0.25">
      <c r="I281" s="2"/>
      <c r="J281" s="2"/>
      <c r="K281" s="2"/>
      <c r="L281" s="2"/>
    </row>
    <row r="282" spans="9:12" ht="15.75" customHeight="1" x14ac:dyDescent="0.25">
      <c r="I282" s="2"/>
      <c r="J282" s="2"/>
      <c r="K282" s="2"/>
      <c r="L282" s="2"/>
    </row>
    <row r="283" spans="9:12" ht="15.75" customHeight="1" x14ac:dyDescent="0.25">
      <c r="I283" s="2"/>
      <c r="J283" s="2"/>
      <c r="K283" s="2"/>
      <c r="L283" s="2"/>
    </row>
    <row r="284" spans="9:12" ht="15.75" customHeight="1" x14ac:dyDescent="0.25">
      <c r="I284" s="2"/>
      <c r="J284" s="2"/>
      <c r="K284" s="2"/>
      <c r="L284" s="2"/>
    </row>
    <row r="285" spans="9:12" ht="15.75" customHeight="1" x14ac:dyDescent="0.25">
      <c r="I285" s="2"/>
      <c r="J285" s="2"/>
      <c r="K285" s="2"/>
      <c r="L285" s="2"/>
    </row>
    <row r="286" spans="9:12" ht="15.75" customHeight="1" x14ac:dyDescent="0.25">
      <c r="I286" s="2"/>
      <c r="J286" s="2"/>
      <c r="K286" s="2"/>
      <c r="L286" s="2"/>
    </row>
    <row r="287" spans="9:12" ht="15.75" customHeight="1" x14ac:dyDescent="0.25">
      <c r="I287" s="2"/>
      <c r="J287" s="2"/>
      <c r="K287" s="2"/>
      <c r="L287" s="2"/>
    </row>
    <row r="288" spans="9:12" ht="15.75" customHeight="1" x14ac:dyDescent="0.25">
      <c r="I288" s="2"/>
      <c r="J288" s="2"/>
      <c r="K288" s="2"/>
      <c r="L288" s="2"/>
    </row>
    <row r="289" spans="9:12" ht="15.75" customHeight="1" x14ac:dyDescent="0.25">
      <c r="I289" s="2"/>
      <c r="J289" s="2"/>
      <c r="K289" s="2"/>
      <c r="L289" s="2"/>
    </row>
    <row r="290" spans="9:12" ht="15.75" customHeight="1" x14ac:dyDescent="0.25">
      <c r="I290" s="2"/>
      <c r="J290" s="2"/>
      <c r="K290" s="2"/>
      <c r="L290" s="2"/>
    </row>
    <row r="291" spans="9:12" ht="15.75" customHeight="1" x14ac:dyDescent="0.25">
      <c r="I291" s="2"/>
      <c r="J291" s="2"/>
      <c r="K291" s="2"/>
      <c r="L291" s="2"/>
    </row>
    <row r="292" spans="9:12" ht="15.75" customHeight="1" x14ac:dyDescent="0.25">
      <c r="I292" s="2"/>
      <c r="J292" s="2"/>
      <c r="K292" s="2"/>
      <c r="L292" s="2"/>
    </row>
    <row r="293" spans="9:12" ht="15.75" customHeight="1" x14ac:dyDescent="0.25">
      <c r="I293" s="2"/>
      <c r="J293" s="2"/>
      <c r="K293" s="2"/>
      <c r="L293" s="2"/>
    </row>
    <row r="294" spans="9:12" ht="15.75" customHeight="1" x14ac:dyDescent="0.25">
      <c r="I294" s="2"/>
      <c r="J294" s="2"/>
      <c r="K294" s="2"/>
      <c r="L294" s="2"/>
    </row>
    <row r="295" spans="9:12" ht="15.75" customHeight="1" x14ac:dyDescent="0.25">
      <c r="I295" s="2"/>
      <c r="J295" s="2"/>
      <c r="K295" s="2"/>
      <c r="L295" s="2"/>
    </row>
    <row r="296" spans="9:12" ht="15.75" customHeight="1" x14ac:dyDescent="0.25">
      <c r="I296" s="2"/>
      <c r="J296" s="2"/>
      <c r="K296" s="2"/>
      <c r="L296" s="2"/>
    </row>
    <row r="297" spans="9:12" ht="15.75" customHeight="1" x14ac:dyDescent="0.25">
      <c r="I297" s="2"/>
      <c r="J297" s="2"/>
      <c r="K297" s="2"/>
      <c r="L297" s="2"/>
    </row>
    <row r="298" spans="9:12" ht="15.75" customHeight="1" x14ac:dyDescent="0.25">
      <c r="I298" s="2"/>
      <c r="J298" s="2"/>
      <c r="K298" s="2"/>
      <c r="L298" s="2"/>
    </row>
    <row r="299" spans="9:12" ht="15.75" customHeight="1" x14ac:dyDescent="0.25">
      <c r="I299" s="2"/>
      <c r="J299" s="2"/>
      <c r="K299" s="2"/>
      <c r="L299" s="2"/>
    </row>
    <row r="300" spans="9:12" ht="15.75" customHeight="1" x14ac:dyDescent="0.25">
      <c r="I300" s="2"/>
      <c r="J300" s="2"/>
      <c r="K300" s="2"/>
      <c r="L300" s="2"/>
    </row>
    <row r="301" spans="9:12" ht="15.75" customHeight="1" x14ac:dyDescent="0.25">
      <c r="I301" s="2"/>
      <c r="J301" s="2"/>
      <c r="K301" s="2"/>
      <c r="L301" s="2"/>
    </row>
    <row r="302" spans="9:12" ht="15.75" customHeight="1" x14ac:dyDescent="0.25">
      <c r="I302" s="2"/>
      <c r="J302" s="2"/>
      <c r="K302" s="2"/>
      <c r="L302" s="2"/>
    </row>
    <row r="303" spans="9:12" ht="15.75" customHeight="1" x14ac:dyDescent="0.25">
      <c r="I303" s="2"/>
      <c r="J303" s="2"/>
      <c r="K303" s="2"/>
      <c r="L303" s="2"/>
    </row>
    <row r="304" spans="9:12" ht="15.75" customHeight="1" x14ac:dyDescent="0.25">
      <c r="I304" s="2"/>
      <c r="J304" s="2"/>
      <c r="K304" s="2"/>
      <c r="L304" s="2"/>
    </row>
    <row r="305" spans="9:12" ht="15.75" customHeight="1" x14ac:dyDescent="0.25">
      <c r="I305" s="2"/>
      <c r="J305" s="2"/>
      <c r="K305" s="2"/>
      <c r="L305" s="2"/>
    </row>
    <row r="306" spans="9:12" ht="15.75" customHeight="1" x14ac:dyDescent="0.25">
      <c r="I306" s="2"/>
      <c r="J306" s="2"/>
      <c r="K306" s="2"/>
      <c r="L306" s="2"/>
    </row>
    <row r="307" spans="9:12" ht="15.75" customHeight="1" x14ac:dyDescent="0.25">
      <c r="I307" s="2"/>
      <c r="J307" s="2"/>
      <c r="K307" s="2"/>
      <c r="L307" s="2"/>
    </row>
    <row r="308" spans="9:12" ht="15.75" customHeight="1" x14ac:dyDescent="0.25">
      <c r="I308" s="2"/>
      <c r="J308" s="2"/>
      <c r="K308" s="2"/>
      <c r="L308" s="2"/>
    </row>
    <row r="309" spans="9:12" ht="15.75" customHeight="1" x14ac:dyDescent="0.25">
      <c r="I309" s="2"/>
      <c r="J309" s="2"/>
      <c r="K309" s="2"/>
      <c r="L309" s="2"/>
    </row>
    <row r="310" spans="9:12" ht="15.75" customHeight="1" x14ac:dyDescent="0.25">
      <c r="I310" s="2"/>
      <c r="J310" s="2"/>
      <c r="K310" s="2"/>
      <c r="L310" s="2"/>
    </row>
    <row r="311" spans="9:12" ht="15.75" customHeight="1" x14ac:dyDescent="0.25">
      <c r="I311" s="2"/>
      <c r="J311" s="2"/>
      <c r="K311" s="2"/>
      <c r="L311" s="2"/>
    </row>
    <row r="312" spans="9:12" ht="15.75" customHeight="1" x14ac:dyDescent="0.25">
      <c r="I312" s="2"/>
      <c r="J312" s="2"/>
      <c r="K312" s="2"/>
      <c r="L312" s="2"/>
    </row>
    <row r="313" spans="9:12" ht="15.75" customHeight="1" x14ac:dyDescent="0.25">
      <c r="I313" s="2"/>
      <c r="J313" s="2"/>
      <c r="K313" s="2"/>
      <c r="L313" s="2"/>
    </row>
    <row r="314" spans="9:12" ht="15.75" customHeight="1" x14ac:dyDescent="0.25">
      <c r="I314" s="2"/>
      <c r="J314" s="2"/>
      <c r="K314" s="2"/>
      <c r="L314" s="2"/>
    </row>
    <row r="315" spans="9:12" ht="15.75" customHeight="1" x14ac:dyDescent="0.25">
      <c r="I315" s="2"/>
      <c r="J315" s="2"/>
      <c r="K315" s="2"/>
      <c r="L315" s="2"/>
    </row>
    <row r="316" spans="9:12" ht="15.75" customHeight="1" x14ac:dyDescent="0.25">
      <c r="I316" s="2"/>
      <c r="J316" s="2"/>
      <c r="K316" s="2"/>
      <c r="L316" s="2"/>
    </row>
    <row r="317" spans="9:12" ht="15.75" customHeight="1" x14ac:dyDescent="0.25">
      <c r="I317" s="2"/>
      <c r="J317" s="2"/>
      <c r="K317" s="2"/>
      <c r="L317" s="2"/>
    </row>
    <row r="318" spans="9:12" ht="15.75" customHeight="1" x14ac:dyDescent="0.25">
      <c r="I318" s="2"/>
      <c r="J318" s="2"/>
      <c r="K318" s="2"/>
      <c r="L318" s="2"/>
    </row>
    <row r="319" spans="9:12" ht="15.75" customHeight="1" x14ac:dyDescent="0.25">
      <c r="I319" s="2"/>
      <c r="J319" s="2"/>
      <c r="K319" s="2"/>
      <c r="L319" s="2"/>
    </row>
    <row r="320" spans="9:12" ht="15.75" customHeight="1" x14ac:dyDescent="0.25">
      <c r="I320" s="2"/>
      <c r="J320" s="2"/>
      <c r="K320" s="2"/>
      <c r="L320" s="2"/>
    </row>
    <row r="321" spans="9:12" ht="15.75" customHeight="1" x14ac:dyDescent="0.25">
      <c r="I321" s="2"/>
      <c r="J321" s="2"/>
      <c r="K321" s="2"/>
      <c r="L321" s="2"/>
    </row>
    <row r="322" spans="9:12" ht="15.75" customHeight="1" x14ac:dyDescent="0.25">
      <c r="I322" s="2"/>
      <c r="J322" s="2"/>
      <c r="K322" s="2"/>
      <c r="L322" s="2"/>
    </row>
    <row r="323" spans="9:12" ht="15.75" customHeight="1" x14ac:dyDescent="0.25">
      <c r="I323" s="2"/>
      <c r="J323" s="2"/>
      <c r="K323" s="2"/>
      <c r="L323" s="2"/>
    </row>
    <row r="324" spans="9:12" ht="15.75" customHeight="1" x14ac:dyDescent="0.25">
      <c r="I324" s="2"/>
      <c r="J324" s="2"/>
      <c r="K324" s="2"/>
      <c r="L324" s="2"/>
    </row>
    <row r="325" spans="9:12" ht="15.75" customHeight="1" x14ac:dyDescent="0.25">
      <c r="I325" s="2"/>
      <c r="J325" s="2"/>
      <c r="K325" s="2"/>
      <c r="L325" s="2"/>
    </row>
    <row r="326" spans="9:12" ht="15.75" customHeight="1" x14ac:dyDescent="0.25">
      <c r="I326" s="2"/>
      <c r="J326" s="2"/>
      <c r="K326" s="2"/>
      <c r="L326" s="2"/>
    </row>
    <row r="327" spans="9:12" ht="15.75" customHeight="1" x14ac:dyDescent="0.25">
      <c r="I327" s="2"/>
      <c r="J327" s="2"/>
      <c r="K327" s="2"/>
      <c r="L327" s="2"/>
    </row>
    <row r="328" spans="9:12" ht="15.75" customHeight="1" x14ac:dyDescent="0.25">
      <c r="I328" s="2"/>
      <c r="J328" s="2"/>
      <c r="K328" s="2"/>
      <c r="L328" s="2"/>
    </row>
    <row r="329" spans="9:12" ht="15.75" customHeight="1" x14ac:dyDescent="0.25">
      <c r="I329" s="2"/>
      <c r="J329" s="2"/>
      <c r="K329" s="2"/>
      <c r="L329" s="2"/>
    </row>
    <row r="330" spans="9:12" ht="15.75" customHeight="1" x14ac:dyDescent="0.25">
      <c r="I330" s="2"/>
      <c r="J330" s="2"/>
      <c r="K330" s="2"/>
      <c r="L330" s="2"/>
    </row>
    <row r="331" spans="9:12" ht="15.75" customHeight="1" x14ac:dyDescent="0.25">
      <c r="I331" s="2"/>
      <c r="J331" s="2"/>
      <c r="K331" s="2"/>
      <c r="L331" s="2"/>
    </row>
    <row r="332" spans="9:12" ht="15.75" customHeight="1" x14ac:dyDescent="0.25">
      <c r="I332" s="2"/>
      <c r="J332" s="2"/>
      <c r="K332" s="2"/>
      <c r="L332" s="2"/>
    </row>
    <row r="333" spans="9:12" ht="15.75" customHeight="1" x14ac:dyDescent="0.25">
      <c r="I333" s="2"/>
      <c r="J333" s="2"/>
      <c r="K333" s="2"/>
      <c r="L333" s="2"/>
    </row>
    <row r="334" spans="9:12" ht="15.75" customHeight="1" x14ac:dyDescent="0.25">
      <c r="I334" s="2"/>
      <c r="J334" s="2"/>
      <c r="K334" s="2"/>
      <c r="L334" s="2"/>
    </row>
    <row r="335" spans="9:12" ht="15.75" customHeight="1" x14ac:dyDescent="0.25">
      <c r="I335" s="2"/>
      <c r="J335" s="2"/>
      <c r="K335" s="2"/>
      <c r="L335" s="2"/>
    </row>
    <row r="336" spans="9:12" ht="15.75" customHeight="1" x14ac:dyDescent="0.25">
      <c r="I336" s="2"/>
      <c r="J336" s="2"/>
      <c r="K336" s="2"/>
      <c r="L336" s="2"/>
    </row>
    <row r="337" spans="9:12" ht="15.75" customHeight="1" x14ac:dyDescent="0.25">
      <c r="I337" s="2"/>
      <c r="J337" s="2"/>
      <c r="K337" s="2"/>
      <c r="L337" s="2"/>
    </row>
    <row r="338" spans="9:12" ht="15.75" customHeight="1" x14ac:dyDescent="0.25">
      <c r="I338" s="2"/>
      <c r="J338" s="2"/>
      <c r="K338" s="2"/>
      <c r="L338" s="2"/>
    </row>
    <row r="339" spans="9:12" ht="15.75" customHeight="1" x14ac:dyDescent="0.25">
      <c r="I339" s="2"/>
      <c r="J339" s="2"/>
      <c r="K339" s="2"/>
      <c r="L339" s="2"/>
    </row>
    <row r="340" spans="9:12" ht="15.75" customHeight="1" x14ac:dyDescent="0.25">
      <c r="I340" s="2"/>
      <c r="J340" s="2"/>
      <c r="K340" s="2"/>
      <c r="L340" s="2"/>
    </row>
    <row r="341" spans="9:12" ht="15.75" customHeight="1" x14ac:dyDescent="0.25">
      <c r="I341" s="2"/>
      <c r="J341" s="2"/>
      <c r="K341" s="2"/>
      <c r="L341" s="2"/>
    </row>
    <row r="342" spans="9:12" ht="15.75" customHeight="1" x14ac:dyDescent="0.25">
      <c r="I342" s="2"/>
      <c r="J342" s="2"/>
      <c r="K342" s="2"/>
      <c r="L342" s="2"/>
    </row>
    <row r="343" spans="9:12" ht="15.75" customHeight="1" x14ac:dyDescent="0.25">
      <c r="I343" s="2"/>
      <c r="J343" s="2"/>
      <c r="K343" s="2"/>
      <c r="L343" s="2"/>
    </row>
    <row r="344" spans="9:12" ht="15.75" customHeight="1" x14ac:dyDescent="0.25">
      <c r="I344" s="2"/>
      <c r="J344" s="2"/>
      <c r="K344" s="2"/>
      <c r="L344" s="2"/>
    </row>
    <row r="345" spans="9:12" ht="15.75" customHeight="1" x14ac:dyDescent="0.25">
      <c r="I345" s="2"/>
      <c r="J345" s="2"/>
      <c r="K345" s="2"/>
      <c r="L345" s="2"/>
    </row>
    <row r="346" spans="9:12" ht="15.75" customHeight="1" x14ac:dyDescent="0.25">
      <c r="I346" s="2"/>
      <c r="J346" s="2"/>
      <c r="K346" s="2"/>
      <c r="L346" s="2"/>
    </row>
    <row r="347" spans="9:12" ht="15.75" customHeight="1" x14ac:dyDescent="0.25">
      <c r="I347" s="2"/>
      <c r="J347" s="2"/>
      <c r="K347" s="2"/>
      <c r="L347" s="2"/>
    </row>
    <row r="348" spans="9:12" ht="15.75" customHeight="1" x14ac:dyDescent="0.25">
      <c r="I348" s="2"/>
      <c r="J348" s="2"/>
      <c r="K348" s="2"/>
      <c r="L348" s="2"/>
    </row>
    <row r="349" spans="9:12" ht="15.75" customHeight="1" x14ac:dyDescent="0.25">
      <c r="I349" s="2"/>
      <c r="J349" s="2"/>
      <c r="K349" s="2"/>
      <c r="L349" s="2"/>
    </row>
    <row r="350" spans="9:12" ht="15.75" customHeight="1" x14ac:dyDescent="0.25">
      <c r="I350" s="2"/>
      <c r="J350" s="2"/>
      <c r="K350" s="2"/>
      <c r="L350" s="2"/>
    </row>
    <row r="351" spans="9:12" ht="15.75" customHeight="1" x14ac:dyDescent="0.25">
      <c r="I351" s="2"/>
      <c r="J351" s="2"/>
      <c r="K351" s="2"/>
      <c r="L351" s="2"/>
    </row>
    <row r="352" spans="9:12" ht="15.75" customHeight="1" x14ac:dyDescent="0.25">
      <c r="I352" s="2"/>
      <c r="J352" s="2"/>
      <c r="K352" s="2"/>
      <c r="L352" s="2"/>
    </row>
    <row r="353" spans="9:12" ht="15.75" customHeight="1" x14ac:dyDescent="0.25">
      <c r="I353" s="2"/>
      <c r="J353" s="2"/>
      <c r="K353" s="2"/>
      <c r="L353" s="2"/>
    </row>
    <row r="354" spans="9:12" ht="15.75" customHeight="1" x14ac:dyDescent="0.25">
      <c r="I354" s="2"/>
      <c r="J354" s="2"/>
      <c r="K354" s="2"/>
      <c r="L354" s="2"/>
    </row>
    <row r="355" spans="9:12" ht="15.75" customHeight="1" x14ac:dyDescent="0.25">
      <c r="I355" s="2"/>
      <c r="J355" s="2"/>
      <c r="K355" s="2"/>
      <c r="L355" s="2"/>
    </row>
    <row r="356" spans="9:12" ht="15.75" customHeight="1" x14ac:dyDescent="0.25">
      <c r="I356" s="2"/>
      <c r="J356" s="2"/>
      <c r="K356" s="2"/>
      <c r="L356" s="2"/>
    </row>
    <row r="357" spans="9:12" ht="15.75" customHeight="1" x14ac:dyDescent="0.25">
      <c r="I357" s="2"/>
      <c r="J357" s="2"/>
      <c r="K357" s="2"/>
      <c r="L357" s="2"/>
    </row>
    <row r="358" spans="9:12" ht="15.75" customHeight="1" x14ac:dyDescent="0.25">
      <c r="I358" s="2"/>
      <c r="J358" s="2"/>
      <c r="K358" s="2"/>
      <c r="L358" s="2"/>
    </row>
    <row r="359" spans="9:12" ht="15.75" customHeight="1" x14ac:dyDescent="0.25">
      <c r="I359" s="2"/>
      <c r="J359" s="2"/>
      <c r="K359" s="2"/>
      <c r="L359" s="2"/>
    </row>
    <row r="360" spans="9:12" ht="15.75" customHeight="1" x14ac:dyDescent="0.25">
      <c r="I360" s="2"/>
      <c r="J360" s="2"/>
      <c r="K360" s="2"/>
      <c r="L360" s="2"/>
    </row>
    <row r="361" spans="9:12" ht="15.75" customHeight="1" x14ac:dyDescent="0.25">
      <c r="I361" s="2"/>
      <c r="J361" s="2"/>
      <c r="K361" s="2"/>
      <c r="L361" s="2"/>
    </row>
    <row r="362" spans="9:12" ht="15.75" customHeight="1" x14ac:dyDescent="0.25">
      <c r="I362" s="2"/>
      <c r="J362" s="2"/>
      <c r="K362" s="2"/>
      <c r="L362" s="2"/>
    </row>
    <row r="363" spans="9:12" ht="15.75" customHeight="1" x14ac:dyDescent="0.25">
      <c r="I363" s="2"/>
      <c r="J363" s="2"/>
      <c r="K363" s="2"/>
      <c r="L363" s="2"/>
    </row>
    <row r="364" spans="9:12" ht="15.75" customHeight="1" x14ac:dyDescent="0.25">
      <c r="I364" s="2"/>
      <c r="J364" s="2"/>
      <c r="K364" s="2"/>
      <c r="L364" s="2"/>
    </row>
    <row r="365" spans="9:12" ht="15.75" customHeight="1" x14ac:dyDescent="0.25">
      <c r="I365" s="2"/>
      <c r="J365" s="2"/>
      <c r="K365" s="2"/>
      <c r="L365" s="2"/>
    </row>
    <row r="366" spans="9:12" ht="15.75" customHeight="1" x14ac:dyDescent="0.25">
      <c r="I366" s="2"/>
      <c r="J366" s="2"/>
      <c r="K366" s="2"/>
      <c r="L366" s="2"/>
    </row>
    <row r="367" spans="9:12" ht="15.75" customHeight="1" x14ac:dyDescent="0.25">
      <c r="I367" s="2"/>
      <c r="J367" s="2"/>
      <c r="K367" s="2"/>
      <c r="L367" s="2"/>
    </row>
    <row r="368" spans="9:12" ht="15.75" customHeight="1" x14ac:dyDescent="0.25">
      <c r="I368" s="2"/>
      <c r="J368" s="2"/>
      <c r="K368" s="2"/>
      <c r="L368" s="2"/>
    </row>
    <row r="369" spans="9:12" ht="15.75" customHeight="1" x14ac:dyDescent="0.25">
      <c r="I369" s="2"/>
      <c r="J369" s="2"/>
      <c r="K369" s="2"/>
      <c r="L369" s="2"/>
    </row>
    <row r="370" spans="9:12" ht="15.75" customHeight="1" x14ac:dyDescent="0.25">
      <c r="I370" s="2"/>
      <c r="J370" s="2"/>
      <c r="K370" s="2"/>
      <c r="L370" s="2"/>
    </row>
    <row r="371" spans="9:12" ht="15.75" customHeight="1" x14ac:dyDescent="0.25">
      <c r="I371" s="2"/>
      <c r="J371" s="2"/>
      <c r="K371" s="2"/>
      <c r="L371" s="2"/>
    </row>
    <row r="372" spans="9:12" ht="15.75" customHeight="1" x14ac:dyDescent="0.25">
      <c r="I372" s="2"/>
      <c r="J372" s="2"/>
      <c r="K372" s="2"/>
      <c r="L372" s="2"/>
    </row>
    <row r="373" spans="9:12" ht="15.75" customHeight="1" x14ac:dyDescent="0.25">
      <c r="I373" s="2"/>
      <c r="J373" s="2"/>
      <c r="K373" s="2"/>
      <c r="L373" s="2"/>
    </row>
    <row r="374" spans="9:12" ht="15.75" customHeight="1" x14ac:dyDescent="0.25">
      <c r="I374" s="2"/>
      <c r="J374" s="2"/>
      <c r="K374" s="2"/>
      <c r="L374" s="2"/>
    </row>
    <row r="375" spans="9:12" ht="15.75" customHeight="1" x14ac:dyDescent="0.25">
      <c r="I375" s="2"/>
      <c r="J375" s="2"/>
      <c r="K375" s="2"/>
      <c r="L375" s="2"/>
    </row>
    <row r="376" spans="9:12" ht="15.75" customHeight="1" x14ac:dyDescent="0.25">
      <c r="I376" s="2"/>
      <c r="J376" s="2"/>
      <c r="K376" s="2"/>
      <c r="L376" s="2"/>
    </row>
    <row r="377" spans="9:12" ht="15.75" customHeight="1" x14ac:dyDescent="0.25">
      <c r="I377" s="2"/>
      <c r="J377" s="2"/>
      <c r="K377" s="2"/>
      <c r="L377" s="2"/>
    </row>
    <row r="378" spans="9:12" ht="15.75" customHeight="1" x14ac:dyDescent="0.25">
      <c r="I378" s="2"/>
      <c r="J378" s="2"/>
      <c r="K378" s="2"/>
      <c r="L378" s="2"/>
    </row>
    <row r="379" spans="9:12" ht="15.75" customHeight="1" x14ac:dyDescent="0.25">
      <c r="I379" s="2"/>
      <c r="J379" s="2"/>
      <c r="K379" s="2"/>
      <c r="L379" s="2"/>
    </row>
    <row r="380" spans="9:12" ht="15.75" customHeight="1" x14ac:dyDescent="0.25">
      <c r="I380" s="2"/>
      <c r="J380" s="2"/>
      <c r="K380" s="2"/>
      <c r="L380" s="2"/>
    </row>
    <row r="381" spans="9:12" ht="15.75" customHeight="1" x14ac:dyDescent="0.25">
      <c r="I381" s="2"/>
      <c r="J381" s="2"/>
      <c r="K381" s="2"/>
      <c r="L381" s="2"/>
    </row>
    <row r="382" spans="9:12" ht="15.75" customHeight="1" x14ac:dyDescent="0.25">
      <c r="I382" s="2"/>
      <c r="J382" s="2"/>
      <c r="K382" s="2"/>
      <c r="L382" s="2"/>
    </row>
    <row r="383" spans="9:12" ht="15.75" customHeight="1" x14ac:dyDescent="0.25">
      <c r="I383" s="2"/>
      <c r="J383" s="2"/>
      <c r="K383" s="2"/>
      <c r="L383" s="2"/>
    </row>
    <row r="384" spans="9:12" ht="15.75" customHeight="1" x14ac:dyDescent="0.25">
      <c r="I384" s="2"/>
      <c r="J384" s="2"/>
      <c r="K384" s="2"/>
      <c r="L384" s="2"/>
    </row>
    <row r="385" spans="9:12" ht="15.75" customHeight="1" x14ac:dyDescent="0.25">
      <c r="I385" s="2"/>
      <c r="J385" s="2"/>
      <c r="K385" s="2"/>
      <c r="L385" s="2"/>
    </row>
    <row r="386" spans="9:12" ht="15.75" customHeight="1" x14ac:dyDescent="0.25">
      <c r="I386" s="2"/>
      <c r="J386" s="2"/>
      <c r="K386" s="2"/>
      <c r="L386" s="2"/>
    </row>
    <row r="387" spans="9:12" ht="15.75" customHeight="1" x14ac:dyDescent="0.25">
      <c r="I387" s="2"/>
      <c r="J387" s="2"/>
      <c r="K387" s="2"/>
      <c r="L387" s="2"/>
    </row>
    <row r="388" spans="9:12" ht="15.75" customHeight="1" x14ac:dyDescent="0.25">
      <c r="I388" s="2"/>
      <c r="J388" s="2"/>
      <c r="K388" s="2"/>
      <c r="L388" s="2"/>
    </row>
    <row r="389" spans="9:12" ht="15.75" customHeight="1" x14ac:dyDescent="0.25">
      <c r="I389" s="2"/>
      <c r="J389" s="2"/>
      <c r="K389" s="2"/>
      <c r="L389" s="2"/>
    </row>
    <row r="390" spans="9:12" ht="15.75" customHeight="1" x14ac:dyDescent="0.25">
      <c r="I390" s="2"/>
      <c r="J390" s="2"/>
      <c r="K390" s="2"/>
      <c r="L390" s="2"/>
    </row>
    <row r="391" spans="9:12" ht="15.75" customHeight="1" x14ac:dyDescent="0.25">
      <c r="I391" s="2"/>
      <c r="J391" s="2"/>
      <c r="K391" s="2"/>
      <c r="L391" s="2"/>
    </row>
    <row r="392" spans="9:12" ht="15.75" customHeight="1" x14ac:dyDescent="0.25">
      <c r="I392" s="2"/>
      <c r="J392" s="2"/>
      <c r="K392" s="2"/>
      <c r="L392" s="2"/>
    </row>
    <row r="393" spans="9:12" ht="15.75" customHeight="1" x14ac:dyDescent="0.25">
      <c r="I393" s="2"/>
      <c r="J393" s="2"/>
      <c r="K393" s="2"/>
      <c r="L393" s="2"/>
    </row>
    <row r="394" spans="9:12" ht="15.75" customHeight="1" x14ac:dyDescent="0.25">
      <c r="I394" s="2"/>
      <c r="J394" s="2"/>
      <c r="K394" s="2"/>
      <c r="L394" s="2"/>
    </row>
    <row r="395" spans="9:12" ht="15.75" customHeight="1" x14ac:dyDescent="0.25">
      <c r="I395" s="2"/>
      <c r="J395" s="2"/>
      <c r="K395" s="2"/>
      <c r="L395" s="2"/>
    </row>
    <row r="396" spans="9:12" ht="15.75" customHeight="1" x14ac:dyDescent="0.25">
      <c r="I396" s="2"/>
      <c r="J396" s="2"/>
      <c r="K396" s="2"/>
      <c r="L396" s="2"/>
    </row>
    <row r="397" spans="9:12" ht="15.75" customHeight="1" x14ac:dyDescent="0.25">
      <c r="I397" s="2"/>
      <c r="J397" s="2"/>
      <c r="K397" s="2"/>
      <c r="L397" s="2"/>
    </row>
    <row r="398" spans="9:12" ht="15.75" customHeight="1" x14ac:dyDescent="0.25">
      <c r="I398" s="2"/>
      <c r="J398" s="2"/>
      <c r="K398" s="2"/>
      <c r="L398" s="2"/>
    </row>
    <row r="399" spans="9:12" ht="15.75" customHeight="1" x14ac:dyDescent="0.25">
      <c r="I399" s="2"/>
      <c r="J399" s="2"/>
      <c r="K399" s="2"/>
      <c r="L399" s="2"/>
    </row>
    <row r="400" spans="9:12" ht="15.75" customHeight="1" x14ac:dyDescent="0.25">
      <c r="I400" s="2"/>
      <c r="J400" s="2"/>
      <c r="K400" s="2"/>
      <c r="L400" s="2"/>
    </row>
    <row r="401" spans="9:12" ht="15.75" customHeight="1" x14ac:dyDescent="0.25">
      <c r="I401" s="2"/>
      <c r="J401" s="2"/>
      <c r="K401" s="2"/>
      <c r="L401" s="2"/>
    </row>
    <row r="402" spans="9:12" ht="15.75" customHeight="1" x14ac:dyDescent="0.25">
      <c r="I402" s="2"/>
      <c r="J402" s="2"/>
      <c r="K402" s="2"/>
      <c r="L402" s="2"/>
    </row>
    <row r="403" spans="9:12" ht="15.75" customHeight="1" x14ac:dyDescent="0.25">
      <c r="I403" s="2"/>
      <c r="J403" s="2"/>
      <c r="K403" s="2"/>
      <c r="L403" s="2"/>
    </row>
    <row r="404" spans="9:12" ht="15.75" customHeight="1" x14ac:dyDescent="0.25">
      <c r="I404" s="2"/>
      <c r="J404" s="2"/>
      <c r="K404" s="2"/>
      <c r="L404" s="2"/>
    </row>
    <row r="405" spans="9:12" ht="15.75" customHeight="1" x14ac:dyDescent="0.25">
      <c r="I405" s="2"/>
      <c r="J405" s="2"/>
      <c r="K405" s="2"/>
      <c r="L405" s="2"/>
    </row>
    <row r="406" spans="9:12" ht="15.75" customHeight="1" x14ac:dyDescent="0.25">
      <c r="I406" s="2"/>
      <c r="J406" s="2"/>
      <c r="K406" s="2"/>
      <c r="L406" s="2"/>
    </row>
    <row r="407" spans="9:12" ht="15.75" customHeight="1" x14ac:dyDescent="0.25">
      <c r="I407" s="2"/>
      <c r="J407" s="2"/>
      <c r="K407" s="2"/>
      <c r="L407" s="2"/>
    </row>
    <row r="408" spans="9:12" ht="15.75" customHeight="1" x14ac:dyDescent="0.25">
      <c r="I408" s="2"/>
      <c r="J408" s="2"/>
      <c r="K408" s="2"/>
      <c r="L408" s="2"/>
    </row>
    <row r="409" spans="9:12" ht="15.75" customHeight="1" x14ac:dyDescent="0.25">
      <c r="I409" s="2"/>
      <c r="J409" s="2"/>
      <c r="K409" s="2"/>
      <c r="L409" s="2"/>
    </row>
    <row r="410" spans="9:12" ht="15.75" customHeight="1" x14ac:dyDescent="0.25">
      <c r="I410" s="2"/>
      <c r="J410" s="2"/>
      <c r="K410" s="2"/>
      <c r="L410" s="2"/>
    </row>
    <row r="411" spans="9:12" ht="15.75" customHeight="1" x14ac:dyDescent="0.25">
      <c r="I411" s="2"/>
      <c r="J411" s="2"/>
      <c r="K411" s="2"/>
      <c r="L411" s="2"/>
    </row>
    <row r="412" spans="9:12" ht="15.75" customHeight="1" x14ac:dyDescent="0.25">
      <c r="I412" s="2"/>
      <c r="J412" s="2"/>
      <c r="K412" s="2"/>
      <c r="L412" s="2"/>
    </row>
    <row r="413" spans="9:12" ht="15.75" customHeight="1" x14ac:dyDescent="0.25">
      <c r="I413" s="2"/>
      <c r="J413" s="2"/>
      <c r="K413" s="2"/>
      <c r="L413" s="2"/>
    </row>
    <row r="414" spans="9:12" ht="15.75" customHeight="1" x14ac:dyDescent="0.25">
      <c r="I414" s="2"/>
      <c r="J414" s="2"/>
      <c r="K414" s="2"/>
      <c r="L414" s="2"/>
    </row>
    <row r="415" spans="9:12" ht="15.75" customHeight="1" x14ac:dyDescent="0.25">
      <c r="I415" s="2"/>
      <c r="J415" s="2"/>
      <c r="K415" s="2"/>
      <c r="L415" s="2"/>
    </row>
    <row r="416" spans="9:12" ht="15.75" customHeight="1" x14ac:dyDescent="0.25">
      <c r="I416" s="2"/>
      <c r="J416" s="2"/>
      <c r="K416" s="2"/>
      <c r="L416" s="2"/>
    </row>
    <row r="417" spans="9:12" ht="15.75" customHeight="1" x14ac:dyDescent="0.25">
      <c r="I417" s="2"/>
      <c r="J417" s="2"/>
      <c r="K417" s="2"/>
      <c r="L417" s="2"/>
    </row>
    <row r="418" spans="9:12" ht="15.75" customHeight="1" x14ac:dyDescent="0.25">
      <c r="I418" s="2"/>
      <c r="J418" s="2"/>
      <c r="K418" s="2"/>
      <c r="L418" s="2"/>
    </row>
    <row r="419" spans="9:12" ht="15.75" customHeight="1" x14ac:dyDescent="0.25">
      <c r="I419" s="2"/>
      <c r="J419" s="2"/>
      <c r="K419" s="2"/>
      <c r="L419" s="2"/>
    </row>
    <row r="420" spans="9:12" ht="15.75" customHeight="1" x14ac:dyDescent="0.25">
      <c r="I420" s="2"/>
      <c r="J420" s="2"/>
      <c r="K420" s="2"/>
      <c r="L420" s="2"/>
    </row>
    <row r="421" spans="9:12" ht="15.75" customHeight="1" x14ac:dyDescent="0.25">
      <c r="I421" s="2"/>
      <c r="J421" s="2"/>
      <c r="K421" s="2"/>
      <c r="L421" s="2"/>
    </row>
    <row r="422" spans="9:12" ht="15.75" customHeight="1" x14ac:dyDescent="0.25">
      <c r="I422" s="2"/>
      <c r="J422" s="2"/>
      <c r="K422" s="2"/>
      <c r="L422" s="2"/>
    </row>
    <row r="423" spans="9:12" ht="15.75" customHeight="1" x14ac:dyDescent="0.25">
      <c r="I423" s="2"/>
      <c r="J423" s="2"/>
      <c r="K423" s="2"/>
      <c r="L423" s="2"/>
    </row>
    <row r="424" spans="9:12" ht="15.75" customHeight="1" x14ac:dyDescent="0.25">
      <c r="I424" s="2"/>
      <c r="J424" s="2"/>
      <c r="K424" s="2"/>
      <c r="L424" s="2"/>
    </row>
    <row r="425" spans="9:12" ht="15.75" customHeight="1" x14ac:dyDescent="0.25">
      <c r="I425" s="2"/>
      <c r="J425" s="2"/>
      <c r="K425" s="2"/>
      <c r="L425" s="2"/>
    </row>
    <row r="426" spans="9:12" ht="15.75" customHeight="1" x14ac:dyDescent="0.25">
      <c r="I426" s="2"/>
      <c r="J426" s="2"/>
      <c r="K426" s="2"/>
      <c r="L426" s="2"/>
    </row>
    <row r="427" spans="9:12" ht="15.75" customHeight="1" x14ac:dyDescent="0.25">
      <c r="I427" s="2"/>
      <c r="J427" s="2"/>
      <c r="K427" s="2"/>
      <c r="L427" s="2"/>
    </row>
    <row r="428" spans="9:12" ht="15.75" customHeight="1" x14ac:dyDescent="0.25">
      <c r="I428" s="2"/>
      <c r="J428" s="2"/>
      <c r="K428" s="2"/>
      <c r="L428" s="2"/>
    </row>
    <row r="429" spans="9:12" ht="15.75" customHeight="1" x14ac:dyDescent="0.25">
      <c r="I429" s="2"/>
      <c r="J429" s="2"/>
      <c r="K429" s="2"/>
      <c r="L429" s="2"/>
    </row>
    <row r="430" spans="9:12" ht="15.75" customHeight="1" x14ac:dyDescent="0.25">
      <c r="I430" s="2"/>
      <c r="J430" s="2"/>
      <c r="K430" s="2"/>
      <c r="L430" s="2"/>
    </row>
    <row r="431" spans="9:12" ht="15.75" customHeight="1" x14ac:dyDescent="0.25">
      <c r="I431" s="2"/>
      <c r="J431" s="2"/>
      <c r="K431" s="2"/>
      <c r="L431" s="2"/>
    </row>
    <row r="432" spans="9:12" ht="15.75" customHeight="1" x14ac:dyDescent="0.25">
      <c r="I432" s="2"/>
      <c r="J432" s="2"/>
      <c r="K432" s="2"/>
      <c r="L432" s="2"/>
    </row>
    <row r="433" spans="9:12" ht="15.75" customHeight="1" x14ac:dyDescent="0.25">
      <c r="I433" s="2"/>
      <c r="J433" s="2"/>
      <c r="K433" s="2"/>
      <c r="L433" s="2"/>
    </row>
    <row r="434" spans="9:12" ht="15.75" customHeight="1" x14ac:dyDescent="0.25">
      <c r="I434" s="2"/>
      <c r="J434" s="2"/>
      <c r="K434" s="2"/>
      <c r="L434" s="2"/>
    </row>
    <row r="435" spans="9:12" ht="15.75" customHeight="1" x14ac:dyDescent="0.25">
      <c r="I435" s="2"/>
      <c r="J435" s="2"/>
      <c r="K435" s="2"/>
      <c r="L435" s="2"/>
    </row>
    <row r="436" spans="9:12" ht="15.75" customHeight="1" x14ac:dyDescent="0.25">
      <c r="I436" s="2"/>
      <c r="J436" s="2"/>
      <c r="K436" s="2"/>
      <c r="L436" s="2"/>
    </row>
    <row r="437" spans="9:12" ht="15.75" customHeight="1" x14ac:dyDescent="0.25">
      <c r="I437" s="2"/>
      <c r="J437" s="2"/>
      <c r="K437" s="2"/>
      <c r="L437" s="2"/>
    </row>
    <row r="438" spans="9:12" ht="15.75" customHeight="1" x14ac:dyDescent="0.25">
      <c r="I438" s="2"/>
      <c r="J438" s="2"/>
      <c r="K438" s="2"/>
      <c r="L438" s="2"/>
    </row>
    <row r="439" spans="9:12" ht="15.75" customHeight="1" x14ac:dyDescent="0.25">
      <c r="I439" s="2"/>
      <c r="J439" s="2"/>
      <c r="K439" s="2"/>
      <c r="L439" s="2"/>
    </row>
    <row r="440" spans="9:12" ht="15.75" customHeight="1" x14ac:dyDescent="0.25">
      <c r="I440" s="2"/>
      <c r="J440" s="2"/>
      <c r="K440" s="2"/>
      <c r="L440" s="2"/>
    </row>
    <row r="441" spans="9:12" ht="15.75" customHeight="1" x14ac:dyDescent="0.25">
      <c r="I441" s="2"/>
      <c r="J441" s="2"/>
      <c r="K441" s="2"/>
      <c r="L441" s="2"/>
    </row>
    <row r="442" spans="9:12" ht="15.75" customHeight="1" x14ac:dyDescent="0.25">
      <c r="I442" s="2"/>
      <c r="J442" s="2"/>
      <c r="K442" s="2"/>
      <c r="L442" s="2"/>
    </row>
    <row r="443" spans="9:12" ht="15.75" customHeight="1" x14ac:dyDescent="0.25">
      <c r="I443" s="2"/>
      <c r="J443" s="2"/>
      <c r="K443" s="2"/>
      <c r="L443" s="2"/>
    </row>
    <row r="444" spans="9:12" ht="15.75" customHeight="1" x14ac:dyDescent="0.25">
      <c r="I444" s="2"/>
      <c r="J444" s="2"/>
      <c r="K444" s="2"/>
      <c r="L444" s="2"/>
    </row>
    <row r="445" spans="9:12" ht="15.75" customHeight="1" x14ac:dyDescent="0.25">
      <c r="I445" s="2"/>
      <c r="J445" s="2"/>
      <c r="K445" s="2"/>
      <c r="L445" s="2"/>
    </row>
    <row r="446" spans="9:12" ht="15.75" customHeight="1" x14ac:dyDescent="0.25">
      <c r="I446" s="2"/>
      <c r="J446" s="2"/>
      <c r="K446" s="2"/>
      <c r="L446" s="2"/>
    </row>
    <row r="447" spans="9:12" ht="15.75" customHeight="1" x14ac:dyDescent="0.25">
      <c r="I447" s="2"/>
      <c r="J447" s="2"/>
      <c r="K447" s="2"/>
      <c r="L447" s="2"/>
    </row>
    <row r="448" spans="9:12" ht="15.75" customHeight="1" x14ac:dyDescent="0.25">
      <c r="I448" s="2"/>
      <c r="J448" s="2"/>
      <c r="K448" s="2"/>
      <c r="L448" s="2"/>
    </row>
    <row r="449" spans="9:12" ht="15.75" customHeight="1" x14ac:dyDescent="0.25">
      <c r="I449" s="2"/>
      <c r="J449" s="2"/>
      <c r="K449" s="2"/>
      <c r="L449" s="2"/>
    </row>
    <row r="450" spans="9:12" ht="15.75" customHeight="1" x14ac:dyDescent="0.25">
      <c r="I450" s="2"/>
      <c r="J450" s="2"/>
      <c r="K450" s="2"/>
      <c r="L450" s="2"/>
    </row>
    <row r="451" spans="9:12" ht="15.75" customHeight="1" x14ac:dyDescent="0.25">
      <c r="I451" s="2"/>
      <c r="J451" s="2"/>
      <c r="K451" s="2"/>
      <c r="L451" s="2"/>
    </row>
    <row r="452" spans="9:12" ht="15.75" customHeight="1" x14ac:dyDescent="0.25">
      <c r="I452" s="2"/>
      <c r="J452" s="2"/>
      <c r="K452" s="2"/>
      <c r="L452" s="2"/>
    </row>
    <row r="453" spans="9:12" ht="15.75" customHeight="1" x14ac:dyDescent="0.25">
      <c r="I453" s="2"/>
      <c r="J453" s="2"/>
      <c r="K453" s="2"/>
      <c r="L453" s="2"/>
    </row>
    <row r="454" spans="9:12" ht="15.75" customHeight="1" x14ac:dyDescent="0.25">
      <c r="I454" s="2"/>
      <c r="J454" s="2"/>
      <c r="K454" s="2"/>
      <c r="L454" s="2"/>
    </row>
    <row r="455" spans="9:12" ht="15.75" customHeight="1" x14ac:dyDescent="0.25">
      <c r="I455" s="2"/>
      <c r="J455" s="2"/>
      <c r="K455" s="2"/>
      <c r="L455" s="2"/>
    </row>
    <row r="456" spans="9:12" ht="15.75" customHeight="1" x14ac:dyDescent="0.25">
      <c r="I456" s="2"/>
      <c r="J456" s="2"/>
      <c r="K456" s="2"/>
      <c r="L456" s="2"/>
    </row>
    <row r="457" spans="9:12" ht="15.75" customHeight="1" x14ac:dyDescent="0.25">
      <c r="I457" s="2"/>
      <c r="J457" s="2"/>
      <c r="K457" s="2"/>
      <c r="L457" s="2"/>
    </row>
    <row r="458" spans="9:12" ht="15.75" customHeight="1" x14ac:dyDescent="0.25">
      <c r="I458" s="2"/>
      <c r="J458" s="2"/>
      <c r="K458" s="2"/>
      <c r="L458" s="2"/>
    </row>
    <row r="459" spans="9:12" ht="15.75" customHeight="1" x14ac:dyDescent="0.25">
      <c r="I459" s="2"/>
      <c r="J459" s="2"/>
      <c r="K459" s="2"/>
      <c r="L459" s="2"/>
    </row>
    <row r="460" spans="9:12" ht="15.75" customHeight="1" x14ac:dyDescent="0.25">
      <c r="I460" s="2"/>
      <c r="J460" s="2"/>
      <c r="K460" s="2"/>
      <c r="L460" s="2"/>
    </row>
    <row r="461" spans="9:12" ht="15.75" customHeight="1" x14ac:dyDescent="0.25">
      <c r="I461" s="2"/>
      <c r="J461" s="2"/>
      <c r="K461" s="2"/>
      <c r="L461" s="2"/>
    </row>
    <row r="462" spans="9:12" ht="15.75" customHeight="1" x14ac:dyDescent="0.25">
      <c r="I462" s="2"/>
      <c r="J462" s="2"/>
      <c r="K462" s="2"/>
      <c r="L462" s="2"/>
    </row>
    <row r="463" spans="9:12" ht="15.75" customHeight="1" x14ac:dyDescent="0.25">
      <c r="I463" s="2"/>
      <c r="J463" s="2"/>
      <c r="K463" s="2"/>
      <c r="L463" s="2"/>
    </row>
    <row r="464" spans="9:12" ht="15.75" customHeight="1" x14ac:dyDescent="0.25">
      <c r="I464" s="2"/>
      <c r="J464" s="2"/>
      <c r="K464" s="2"/>
      <c r="L464" s="2"/>
    </row>
    <row r="465" spans="9:12" ht="15.75" customHeight="1" x14ac:dyDescent="0.25">
      <c r="I465" s="2"/>
      <c r="J465" s="2"/>
      <c r="K465" s="2"/>
      <c r="L465" s="2"/>
    </row>
    <row r="466" spans="9:12" ht="15.75" customHeight="1" x14ac:dyDescent="0.25">
      <c r="I466" s="2"/>
      <c r="J466" s="2"/>
      <c r="K466" s="2"/>
      <c r="L466" s="2"/>
    </row>
    <row r="467" spans="9:12" ht="15.75" customHeight="1" x14ac:dyDescent="0.25">
      <c r="I467" s="2"/>
      <c r="J467" s="2"/>
      <c r="K467" s="2"/>
      <c r="L467" s="2"/>
    </row>
    <row r="468" spans="9:12" ht="15.75" customHeight="1" x14ac:dyDescent="0.25">
      <c r="I468" s="2"/>
      <c r="J468" s="2"/>
      <c r="K468" s="2"/>
      <c r="L468" s="2"/>
    </row>
    <row r="469" spans="9:12" ht="15.75" customHeight="1" x14ac:dyDescent="0.25">
      <c r="I469" s="2"/>
      <c r="J469" s="2"/>
      <c r="K469" s="2"/>
      <c r="L469" s="2"/>
    </row>
    <row r="470" spans="9:12" ht="15.75" customHeight="1" x14ac:dyDescent="0.25">
      <c r="I470" s="2"/>
      <c r="J470" s="2"/>
      <c r="K470" s="2"/>
      <c r="L470" s="2"/>
    </row>
    <row r="471" spans="9:12" ht="15.75" customHeight="1" x14ac:dyDescent="0.25">
      <c r="I471" s="2"/>
      <c r="J471" s="2"/>
      <c r="K471" s="2"/>
      <c r="L471" s="2"/>
    </row>
    <row r="472" spans="9:12" ht="15.75" customHeight="1" x14ac:dyDescent="0.25">
      <c r="I472" s="2"/>
      <c r="J472" s="2"/>
      <c r="K472" s="2"/>
      <c r="L472" s="2"/>
    </row>
    <row r="473" spans="9:12" ht="15.75" customHeight="1" x14ac:dyDescent="0.25">
      <c r="I473" s="2"/>
      <c r="J473" s="2"/>
      <c r="K473" s="2"/>
      <c r="L473" s="2"/>
    </row>
    <row r="474" spans="9:12" ht="15.75" customHeight="1" x14ac:dyDescent="0.25">
      <c r="I474" s="2"/>
      <c r="J474" s="2"/>
      <c r="K474" s="2"/>
      <c r="L474" s="2"/>
    </row>
    <row r="475" spans="9:12" ht="15.75" customHeight="1" x14ac:dyDescent="0.25">
      <c r="I475" s="2"/>
      <c r="J475" s="2"/>
      <c r="K475" s="2"/>
      <c r="L475" s="2"/>
    </row>
    <row r="476" spans="9:12" ht="15.75" customHeight="1" x14ac:dyDescent="0.25">
      <c r="I476" s="2"/>
      <c r="J476" s="2"/>
      <c r="K476" s="2"/>
      <c r="L476" s="2"/>
    </row>
    <row r="477" spans="9:12" ht="15.75" customHeight="1" x14ac:dyDescent="0.25">
      <c r="I477" s="2"/>
      <c r="J477" s="2"/>
      <c r="K477" s="2"/>
      <c r="L477" s="2"/>
    </row>
    <row r="478" spans="9:12" ht="15.75" customHeight="1" x14ac:dyDescent="0.25">
      <c r="I478" s="2"/>
      <c r="J478" s="2"/>
      <c r="K478" s="2"/>
      <c r="L478" s="2"/>
    </row>
    <row r="479" spans="9:12" ht="15.75" customHeight="1" x14ac:dyDescent="0.25">
      <c r="I479" s="2"/>
      <c r="J479" s="2"/>
      <c r="K479" s="2"/>
      <c r="L479" s="2"/>
    </row>
    <row r="480" spans="9:12" ht="15.75" customHeight="1" x14ac:dyDescent="0.25">
      <c r="I480" s="2"/>
      <c r="J480" s="2"/>
      <c r="K480" s="2"/>
      <c r="L480" s="2"/>
    </row>
    <row r="481" spans="9:12" ht="15.75" customHeight="1" x14ac:dyDescent="0.25">
      <c r="I481" s="2"/>
      <c r="J481" s="2"/>
      <c r="K481" s="2"/>
      <c r="L481" s="2"/>
    </row>
    <row r="482" spans="9:12" ht="15.75" customHeight="1" x14ac:dyDescent="0.25">
      <c r="I482" s="2"/>
      <c r="J482" s="2"/>
      <c r="K482" s="2"/>
      <c r="L482" s="2"/>
    </row>
    <row r="483" spans="9:12" ht="15.75" customHeight="1" x14ac:dyDescent="0.25">
      <c r="I483" s="2"/>
      <c r="J483" s="2"/>
      <c r="K483" s="2"/>
      <c r="L483" s="2"/>
    </row>
    <row r="484" spans="9:12" ht="15.75" customHeight="1" x14ac:dyDescent="0.25">
      <c r="I484" s="2"/>
      <c r="J484" s="2"/>
      <c r="K484" s="2"/>
      <c r="L484" s="2"/>
    </row>
    <row r="485" spans="9:12" ht="15.75" customHeight="1" x14ac:dyDescent="0.25">
      <c r="I485" s="2"/>
      <c r="J485" s="2"/>
      <c r="K485" s="2"/>
      <c r="L485" s="2"/>
    </row>
    <row r="486" spans="9:12" ht="15.75" customHeight="1" x14ac:dyDescent="0.25">
      <c r="I486" s="2"/>
      <c r="J486" s="2"/>
      <c r="K486" s="2"/>
      <c r="L486" s="2"/>
    </row>
    <row r="487" spans="9:12" ht="15.75" customHeight="1" x14ac:dyDescent="0.25">
      <c r="I487" s="2"/>
      <c r="J487" s="2"/>
      <c r="K487" s="2"/>
      <c r="L487" s="2"/>
    </row>
    <row r="488" spans="9:12" ht="15.75" customHeight="1" x14ac:dyDescent="0.25">
      <c r="I488" s="2"/>
      <c r="J488" s="2"/>
      <c r="K488" s="2"/>
      <c r="L488" s="2"/>
    </row>
    <row r="489" spans="9:12" ht="15.75" customHeight="1" x14ac:dyDescent="0.25">
      <c r="I489" s="2"/>
      <c r="J489" s="2"/>
      <c r="K489" s="2"/>
      <c r="L489" s="2"/>
    </row>
    <row r="490" spans="9:12" ht="15.75" customHeight="1" x14ac:dyDescent="0.25">
      <c r="I490" s="2"/>
      <c r="J490" s="2"/>
      <c r="K490" s="2"/>
      <c r="L490" s="2"/>
    </row>
    <row r="491" spans="9:12" ht="15.75" customHeight="1" x14ac:dyDescent="0.25">
      <c r="I491" s="2"/>
      <c r="J491" s="2"/>
      <c r="K491" s="2"/>
      <c r="L491" s="2"/>
    </row>
    <row r="492" spans="9:12" ht="15.75" customHeight="1" x14ac:dyDescent="0.25">
      <c r="I492" s="2"/>
      <c r="J492" s="2"/>
      <c r="K492" s="2"/>
      <c r="L492" s="2"/>
    </row>
    <row r="493" spans="9:12" ht="15.75" customHeight="1" x14ac:dyDescent="0.25">
      <c r="I493" s="2"/>
      <c r="J493" s="2"/>
      <c r="K493" s="2"/>
      <c r="L493" s="2"/>
    </row>
    <row r="494" spans="9:12" ht="15.75" customHeight="1" x14ac:dyDescent="0.25">
      <c r="I494" s="2"/>
      <c r="J494" s="2"/>
      <c r="K494" s="2"/>
      <c r="L494" s="2"/>
    </row>
    <row r="495" spans="9:12" ht="15.75" customHeight="1" x14ac:dyDescent="0.25">
      <c r="I495" s="2"/>
      <c r="J495" s="2"/>
      <c r="K495" s="2"/>
      <c r="L495" s="2"/>
    </row>
    <row r="496" spans="9:12" ht="15.75" customHeight="1" x14ac:dyDescent="0.25">
      <c r="I496" s="2"/>
      <c r="J496" s="2"/>
      <c r="K496" s="2"/>
      <c r="L496" s="2"/>
    </row>
    <row r="497" spans="9:12" ht="15.75" customHeight="1" x14ac:dyDescent="0.25">
      <c r="I497" s="2"/>
      <c r="J497" s="2"/>
      <c r="K497" s="2"/>
      <c r="L497" s="2"/>
    </row>
    <row r="498" spans="9:12" ht="15.75" customHeight="1" x14ac:dyDescent="0.25">
      <c r="I498" s="2"/>
      <c r="J498" s="2"/>
      <c r="K498" s="2"/>
      <c r="L498" s="2"/>
    </row>
    <row r="499" spans="9:12" ht="15.75" customHeight="1" x14ac:dyDescent="0.25">
      <c r="I499" s="2"/>
      <c r="J499" s="2"/>
      <c r="K499" s="2"/>
      <c r="L499" s="2"/>
    </row>
    <row r="500" spans="9:12" ht="15.75" customHeight="1" x14ac:dyDescent="0.25">
      <c r="I500" s="2"/>
      <c r="J500" s="2"/>
      <c r="K500" s="2"/>
      <c r="L500" s="2"/>
    </row>
    <row r="501" spans="9:12" ht="15.75" customHeight="1" x14ac:dyDescent="0.25">
      <c r="I501" s="2"/>
      <c r="J501" s="2"/>
      <c r="K501" s="2"/>
      <c r="L501" s="2"/>
    </row>
    <row r="502" spans="9:12" ht="15.75" customHeight="1" x14ac:dyDescent="0.25">
      <c r="I502" s="2"/>
      <c r="J502" s="2"/>
      <c r="K502" s="2"/>
      <c r="L502" s="2"/>
    </row>
    <row r="503" spans="9:12" ht="15.75" customHeight="1" x14ac:dyDescent="0.25">
      <c r="I503" s="2"/>
      <c r="J503" s="2"/>
      <c r="K503" s="2"/>
      <c r="L503" s="2"/>
    </row>
    <row r="504" spans="9:12" ht="15.75" customHeight="1" x14ac:dyDescent="0.25">
      <c r="I504" s="2"/>
      <c r="J504" s="2"/>
      <c r="K504" s="2"/>
      <c r="L504" s="2"/>
    </row>
    <row r="505" spans="9:12" ht="15.75" customHeight="1" x14ac:dyDescent="0.25">
      <c r="I505" s="2"/>
      <c r="J505" s="2"/>
      <c r="K505" s="2"/>
      <c r="L505" s="2"/>
    </row>
    <row r="506" spans="9:12" ht="15.75" customHeight="1" x14ac:dyDescent="0.25">
      <c r="I506" s="2"/>
      <c r="J506" s="2"/>
      <c r="K506" s="2"/>
      <c r="L506" s="2"/>
    </row>
    <row r="507" spans="9:12" ht="15.75" customHeight="1" x14ac:dyDescent="0.25">
      <c r="I507" s="2"/>
      <c r="J507" s="2"/>
      <c r="K507" s="2"/>
      <c r="L507" s="2"/>
    </row>
    <row r="508" spans="9:12" ht="15.75" customHeight="1" x14ac:dyDescent="0.25">
      <c r="I508" s="2"/>
      <c r="J508" s="2"/>
      <c r="K508" s="2"/>
      <c r="L508" s="2"/>
    </row>
    <row r="509" spans="9:12" ht="15.75" customHeight="1" x14ac:dyDescent="0.25">
      <c r="I509" s="2"/>
      <c r="J509" s="2"/>
      <c r="K509" s="2"/>
      <c r="L509" s="2"/>
    </row>
    <row r="510" spans="9:12" ht="15.75" customHeight="1" x14ac:dyDescent="0.25">
      <c r="I510" s="2"/>
      <c r="J510" s="2"/>
      <c r="K510" s="2"/>
      <c r="L510" s="2"/>
    </row>
    <row r="511" spans="9:12" ht="15.75" customHeight="1" x14ac:dyDescent="0.25">
      <c r="I511" s="2"/>
      <c r="J511" s="2"/>
      <c r="K511" s="2"/>
      <c r="L511" s="2"/>
    </row>
    <row r="512" spans="9:12" ht="15.75" customHeight="1" x14ac:dyDescent="0.25">
      <c r="I512" s="2"/>
      <c r="J512" s="2"/>
      <c r="K512" s="2"/>
      <c r="L512" s="2"/>
    </row>
    <row r="513" spans="9:12" ht="15.75" customHeight="1" x14ac:dyDescent="0.25">
      <c r="I513" s="2"/>
      <c r="J513" s="2"/>
      <c r="K513" s="2"/>
      <c r="L513" s="2"/>
    </row>
    <row r="514" spans="9:12" ht="15.75" customHeight="1" x14ac:dyDescent="0.25">
      <c r="I514" s="2"/>
      <c r="J514" s="2"/>
      <c r="K514" s="2"/>
      <c r="L514" s="2"/>
    </row>
    <row r="515" spans="9:12" ht="15.75" customHeight="1" x14ac:dyDescent="0.25">
      <c r="I515" s="2"/>
      <c r="J515" s="2"/>
      <c r="K515" s="2"/>
      <c r="L515" s="2"/>
    </row>
    <row r="516" spans="9:12" ht="15.75" customHeight="1" x14ac:dyDescent="0.25">
      <c r="I516" s="2"/>
      <c r="J516" s="2"/>
      <c r="K516" s="2"/>
      <c r="L516" s="2"/>
    </row>
    <row r="517" spans="9:12" ht="15.75" customHeight="1" x14ac:dyDescent="0.25">
      <c r="I517" s="2"/>
      <c r="J517" s="2"/>
      <c r="K517" s="2"/>
      <c r="L517" s="2"/>
    </row>
    <row r="518" spans="9:12" ht="15.75" customHeight="1" x14ac:dyDescent="0.25">
      <c r="I518" s="2"/>
      <c r="J518" s="2"/>
      <c r="K518" s="2"/>
      <c r="L518" s="2"/>
    </row>
    <row r="519" spans="9:12" ht="15.75" customHeight="1" x14ac:dyDescent="0.25">
      <c r="I519" s="2"/>
      <c r="J519" s="2"/>
      <c r="K519" s="2"/>
      <c r="L519" s="2"/>
    </row>
    <row r="520" spans="9:12" ht="15.75" customHeight="1" x14ac:dyDescent="0.25">
      <c r="I520" s="2"/>
      <c r="J520" s="2"/>
      <c r="K520" s="2"/>
      <c r="L520" s="2"/>
    </row>
    <row r="521" spans="9:12" ht="15.75" customHeight="1" x14ac:dyDescent="0.25">
      <c r="I521" s="2"/>
      <c r="J521" s="2"/>
      <c r="K521" s="2"/>
      <c r="L521" s="2"/>
    </row>
    <row r="522" spans="9:12" ht="15.75" customHeight="1" x14ac:dyDescent="0.25">
      <c r="I522" s="2"/>
      <c r="J522" s="2"/>
      <c r="K522" s="2"/>
      <c r="L522" s="2"/>
    </row>
    <row r="523" spans="9:12" ht="15.75" customHeight="1" x14ac:dyDescent="0.25">
      <c r="I523" s="2"/>
      <c r="J523" s="2"/>
      <c r="K523" s="2"/>
      <c r="L523" s="2"/>
    </row>
    <row r="524" spans="9:12" ht="15.75" customHeight="1" x14ac:dyDescent="0.25">
      <c r="I524" s="2"/>
      <c r="J524" s="2"/>
      <c r="K524" s="2"/>
      <c r="L524" s="2"/>
    </row>
    <row r="525" spans="9:12" ht="15.75" customHeight="1" x14ac:dyDescent="0.25">
      <c r="I525" s="2"/>
      <c r="J525" s="2"/>
      <c r="K525" s="2"/>
      <c r="L525" s="2"/>
    </row>
    <row r="526" spans="9:12" ht="15.75" customHeight="1" x14ac:dyDescent="0.25">
      <c r="I526" s="2"/>
      <c r="J526" s="2"/>
      <c r="K526" s="2"/>
      <c r="L526" s="2"/>
    </row>
    <row r="527" spans="9:12" ht="15.75" customHeight="1" x14ac:dyDescent="0.25">
      <c r="I527" s="2"/>
      <c r="J527" s="2"/>
      <c r="K527" s="2"/>
      <c r="L527" s="2"/>
    </row>
    <row r="528" spans="9:12" ht="15.75" customHeight="1" x14ac:dyDescent="0.25">
      <c r="I528" s="2"/>
      <c r="J528" s="2"/>
      <c r="K528" s="2"/>
      <c r="L528" s="2"/>
    </row>
    <row r="529" spans="9:12" ht="15.75" customHeight="1" x14ac:dyDescent="0.25">
      <c r="I529" s="2"/>
      <c r="J529" s="2"/>
      <c r="K529" s="2"/>
      <c r="L529" s="2"/>
    </row>
    <row r="530" spans="9:12" ht="15.75" customHeight="1" x14ac:dyDescent="0.25">
      <c r="I530" s="2"/>
      <c r="J530" s="2"/>
      <c r="K530" s="2"/>
      <c r="L530" s="2"/>
    </row>
    <row r="531" spans="9:12" ht="15.75" customHeight="1" x14ac:dyDescent="0.25">
      <c r="I531" s="2"/>
      <c r="J531" s="2"/>
      <c r="K531" s="2"/>
      <c r="L531" s="2"/>
    </row>
    <row r="532" spans="9:12" ht="15.75" customHeight="1" x14ac:dyDescent="0.25">
      <c r="I532" s="2"/>
      <c r="J532" s="2"/>
      <c r="K532" s="2"/>
      <c r="L532" s="2"/>
    </row>
    <row r="533" spans="9:12" ht="15.75" customHeight="1" x14ac:dyDescent="0.25">
      <c r="I533" s="2"/>
      <c r="J533" s="2"/>
      <c r="K533" s="2"/>
      <c r="L533" s="2"/>
    </row>
    <row r="534" spans="9:12" ht="15.75" customHeight="1" x14ac:dyDescent="0.25">
      <c r="I534" s="2"/>
      <c r="J534" s="2"/>
      <c r="K534" s="2"/>
      <c r="L534" s="2"/>
    </row>
    <row r="535" spans="9:12" ht="15.75" customHeight="1" x14ac:dyDescent="0.25">
      <c r="I535" s="2"/>
      <c r="J535" s="2"/>
      <c r="K535" s="2"/>
      <c r="L535" s="2"/>
    </row>
    <row r="536" spans="9:12" ht="15.75" customHeight="1" x14ac:dyDescent="0.25">
      <c r="I536" s="2"/>
      <c r="J536" s="2"/>
      <c r="K536" s="2"/>
      <c r="L536" s="2"/>
    </row>
    <row r="537" spans="9:12" ht="15.75" customHeight="1" x14ac:dyDescent="0.25">
      <c r="I537" s="2"/>
      <c r="J537" s="2"/>
      <c r="K537" s="2"/>
      <c r="L537" s="2"/>
    </row>
    <row r="538" spans="9:12" ht="15.75" customHeight="1" x14ac:dyDescent="0.25">
      <c r="I538" s="2"/>
      <c r="J538" s="2"/>
      <c r="K538" s="2"/>
      <c r="L538" s="2"/>
    </row>
    <row r="539" spans="9:12" ht="15.75" customHeight="1" x14ac:dyDescent="0.25">
      <c r="I539" s="2"/>
      <c r="J539" s="2"/>
      <c r="K539" s="2"/>
      <c r="L539" s="2"/>
    </row>
    <row r="540" spans="9:12" ht="15.75" customHeight="1" x14ac:dyDescent="0.25">
      <c r="I540" s="2"/>
      <c r="J540" s="2"/>
      <c r="K540" s="2"/>
      <c r="L540" s="2"/>
    </row>
    <row r="541" spans="9:12" ht="15.75" customHeight="1" x14ac:dyDescent="0.25">
      <c r="I541" s="2"/>
      <c r="J541" s="2"/>
      <c r="K541" s="2"/>
      <c r="L541" s="2"/>
    </row>
    <row r="542" spans="9:12" ht="15.75" customHeight="1" x14ac:dyDescent="0.25">
      <c r="I542" s="2"/>
      <c r="J542" s="2"/>
      <c r="K542" s="2"/>
      <c r="L542" s="2"/>
    </row>
    <row r="543" spans="9:12" ht="15.75" customHeight="1" x14ac:dyDescent="0.25">
      <c r="I543" s="2"/>
      <c r="J543" s="2"/>
      <c r="K543" s="2"/>
      <c r="L543" s="2"/>
    </row>
    <row r="544" spans="9:12" ht="15.75" customHeight="1" x14ac:dyDescent="0.25">
      <c r="I544" s="2"/>
      <c r="J544" s="2"/>
      <c r="K544" s="2"/>
      <c r="L544" s="2"/>
    </row>
    <row r="545" spans="9:12" ht="15.75" customHeight="1" x14ac:dyDescent="0.25">
      <c r="I545" s="2"/>
      <c r="J545" s="2"/>
      <c r="K545" s="2"/>
      <c r="L545" s="2"/>
    </row>
    <row r="546" spans="9:12" ht="15.75" customHeight="1" x14ac:dyDescent="0.25">
      <c r="I546" s="2"/>
      <c r="J546" s="2"/>
      <c r="K546" s="2"/>
      <c r="L546" s="2"/>
    </row>
    <row r="547" spans="9:12" ht="15.75" customHeight="1" x14ac:dyDescent="0.25">
      <c r="I547" s="2"/>
      <c r="J547" s="2"/>
      <c r="K547" s="2"/>
      <c r="L547" s="2"/>
    </row>
    <row r="548" spans="9:12" ht="15.75" customHeight="1" x14ac:dyDescent="0.25">
      <c r="I548" s="2"/>
      <c r="J548" s="2"/>
      <c r="K548" s="2"/>
      <c r="L548" s="2"/>
    </row>
    <row r="549" spans="9:12" ht="15.75" customHeight="1" x14ac:dyDescent="0.25">
      <c r="I549" s="2"/>
      <c r="J549" s="2"/>
      <c r="K549" s="2"/>
      <c r="L549" s="2"/>
    </row>
    <row r="550" spans="9:12" ht="15.75" customHeight="1" x14ac:dyDescent="0.25">
      <c r="I550" s="2"/>
      <c r="J550" s="2"/>
      <c r="K550" s="2"/>
      <c r="L550" s="2"/>
    </row>
    <row r="551" spans="9:12" ht="15.75" customHeight="1" x14ac:dyDescent="0.25">
      <c r="I551" s="2"/>
      <c r="J551" s="2"/>
      <c r="K551" s="2"/>
      <c r="L551" s="2"/>
    </row>
    <row r="552" spans="9:12" ht="15.75" customHeight="1" x14ac:dyDescent="0.25">
      <c r="I552" s="2"/>
      <c r="J552" s="2"/>
      <c r="K552" s="2"/>
      <c r="L552" s="2"/>
    </row>
    <row r="553" spans="9:12" ht="15.75" customHeight="1" x14ac:dyDescent="0.25">
      <c r="I553" s="2"/>
      <c r="J553" s="2"/>
      <c r="K553" s="2"/>
      <c r="L553" s="2"/>
    </row>
    <row r="554" spans="9:12" ht="15.75" customHeight="1" x14ac:dyDescent="0.25">
      <c r="I554" s="2"/>
      <c r="J554" s="2"/>
      <c r="K554" s="2"/>
      <c r="L554" s="2"/>
    </row>
    <row r="555" spans="9:12" ht="15.75" customHeight="1" x14ac:dyDescent="0.25">
      <c r="I555" s="2"/>
      <c r="J555" s="2"/>
      <c r="K555" s="2"/>
      <c r="L555" s="2"/>
    </row>
    <row r="556" spans="9:12" ht="15.75" customHeight="1" x14ac:dyDescent="0.25">
      <c r="I556" s="2"/>
      <c r="J556" s="2"/>
      <c r="K556" s="2"/>
      <c r="L556" s="2"/>
    </row>
    <row r="557" spans="9:12" ht="15.75" customHeight="1" x14ac:dyDescent="0.25">
      <c r="I557" s="2"/>
      <c r="J557" s="2"/>
      <c r="K557" s="2"/>
      <c r="L557" s="2"/>
    </row>
    <row r="558" spans="9:12" ht="15.75" customHeight="1" x14ac:dyDescent="0.25">
      <c r="I558" s="2"/>
      <c r="J558" s="2"/>
      <c r="K558" s="2"/>
      <c r="L558" s="2"/>
    </row>
    <row r="559" spans="9:12" ht="15.75" customHeight="1" x14ac:dyDescent="0.25">
      <c r="I559" s="2"/>
      <c r="J559" s="2"/>
      <c r="K559" s="2"/>
      <c r="L559" s="2"/>
    </row>
    <row r="560" spans="9:12" ht="15.75" customHeight="1" x14ac:dyDescent="0.25">
      <c r="I560" s="2"/>
      <c r="J560" s="2"/>
      <c r="K560" s="2"/>
      <c r="L560" s="2"/>
    </row>
    <row r="561" spans="9:12" ht="15.75" customHeight="1" x14ac:dyDescent="0.25">
      <c r="I561" s="2"/>
      <c r="J561" s="2"/>
      <c r="K561" s="2"/>
      <c r="L561" s="2"/>
    </row>
    <row r="562" spans="9:12" ht="15.75" customHeight="1" x14ac:dyDescent="0.25">
      <c r="I562" s="2"/>
      <c r="J562" s="2"/>
      <c r="K562" s="2"/>
      <c r="L562" s="2"/>
    </row>
    <row r="563" spans="9:12" ht="15.75" customHeight="1" x14ac:dyDescent="0.25">
      <c r="I563" s="2"/>
      <c r="J563" s="2"/>
      <c r="K563" s="2"/>
      <c r="L563" s="2"/>
    </row>
    <row r="564" spans="9:12" ht="15.75" customHeight="1" x14ac:dyDescent="0.25">
      <c r="I564" s="2"/>
      <c r="J564" s="2"/>
      <c r="K564" s="2"/>
      <c r="L564" s="2"/>
    </row>
    <row r="565" spans="9:12" ht="15.75" customHeight="1" x14ac:dyDescent="0.25">
      <c r="I565" s="2"/>
      <c r="J565" s="2"/>
      <c r="K565" s="2"/>
      <c r="L565" s="2"/>
    </row>
    <row r="566" spans="9:12" ht="15.75" customHeight="1" x14ac:dyDescent="0.25">
      <c r="I566" s="2"/>
      <c r="J566" s="2"/>
      <c r="K566" s="2"/>
      <c r="L566" s="2"/>
    </row>
    <row r="567" spans="9:12" ht="15.75" customHeight="1" x14ac:dyDescent="0.25">
      <c r="I567" s="2"/>
      <c r="J567" s="2"/>
      <c r="K567" s="2"/>
      <c r="L567" s="2"/>
    </row>
    <row r="568" spans="9:12" ht="15.75" customHeight="1" x14ac:dyDescent="0.25">
      <c r="I568" s="2"/>
      <c r="J568" s="2"/>
      <c r="K568" s="2"/>
      <c r="L568" s="2"/>
    </row>
    <row r="569" spans="9:12" ht="15.75" customHeight="1" x14ac:dyDescent="0.25">
      <c r="I569" s="2"/>
      <c r="J569" s="2"/>
      <c r="K569" s="2"/>
      <c r="L569" s="2"/>
    </row>
    <row r="570" spans="9:12" ht="15.75" customHeight="1" x14ac:dyDescent="0.25">
      <c r="I570" s="2"/>
      <c r="J570" s="2"/>
      <c r="K570" s="2"/>
      <c r="L570" s="2"/>
    </row>
    <row r="571" spans="9:12" ht="15.75" customHeight="1" x14ac:dyDescent="0.25">
      <c r="I571" s="2"/>
      <c r="J571" s="2"/>
      <c r="K571" s="2"/>
      <c r="L571" s="2"/>
    </row>
    <row r="572" spans="9:12" ht="15.75" customHeight="1" x14ac:dyDescent="0.25">
      <c r="I572" s="2"/>
      <c r="J572" s="2"/>
      <c r="K572" s="2"/>
      <c r="L572" s="2"/>
    </row>
    <row r="573" spans="9:12" ht="15.75" customHeight="1" x14ac:dyDescent="0.25">
      <c r="I573" s="2"/>
      <c r="J573" s="2"/>
      <c r="K573" s="2"/>
      <c r="L573" s="2"/>
    </row>
    <row r="574" spans="9:12" ht="15.75" customHeight="1" x14ac:dyDescent="0.25">
      <c r="I574" s="2"/>
      <c r="J574" s="2"/>
      <c r="K574" s="2"/>
      <c r="L574" s="2"/>
    </row>
    <row r="575" spans="9:12" ht="15.75" customHeight="1" x14ac:dyDescent="0.25">
      <c r="I575" s="2"/>
      <c r="J575" s="2"/>
      <c r="K575" s="2"/>
      <c r="L575" s="2"/>
    </row>
    <row r="576" spans="9:12" ht="15.75" customHeight="1" x14ac:dyDescent="0.25">
      <c r="I576" s="2"/>
      <c r="J576" s="2"/>
      <c r="K576" s="2"/>
      <c r="L576" s="2"/>
    </row>
    <row r="577" spans="9:12" ht="15.75" customHeight="1" x14ac:dyDescent="0.25">
      <c r="I577" s="2"/>
      <c r="J577" s="2"/>
      <c r="K577" s="2"/>
      <c r="L577" s="2"/>
    </row>
    <row r="578" spans="9:12" ht="15.75" customHeight="1" x14ac:dyDescent="0.25">
      <c r="I578" s="2"/>
      <c r="J578" s="2"/>
      <c r="K578" s="2"/>
      <c r="L578" s="2"/>
    </row>
    <row r="579" spans="9:12" ht="15.75" customHeight="1" x14ac:dyDescent="0.25">
      <c r="I579" s="2"/>
      <c r="J579" s="2"/>
      <c r="K579" s="2"/>
      <c r="L579" s="2"/>
    </row>
    <row r="580" spans="9:12" ht="15.75" customHeight="1" x14ac:dyDescent="0.25">
      <c r="I580" s="2"/>
      <c r="J580" s="2"/>
      <c r="K580" s="2"/>
      <c r="L580" s="2"/>
    </row>
    <row r="581" spans="9:12" ht="15.75" customHeight="1" x14ac:dyDescent="0.25">
      <c r="I581" s="2"/>
      <c r="J581" s="2"/>
      <c r="K581" s="2"/>
      <c r="L581" s="2"/>
    </row>
    <row r="582" spans="9:12" ht="15.75" customHeight="1" x14ac:dyDescent="0.25">
      <c r="I582" s="2"/>
      <c r="J582" s="2"/>
      <c r="K582" s="2"/>
      <c r="L582" s="2"/>
    </row>
    <row r="583" spans="9:12" ht="15.75" customHeight="1" x14ac:dyDescent="0.25">
      <c r="I583" s="2"/>
      <c r="J583" s="2"/>
      <c r="K583" s="2"/>
      <c r="L583" s="2"/>
    </row>
    <row r="584" spans="9:12" ht="15.75" customHeight="1" x14ac:dyDescent="0.25">
      <c r="I584" s="2"/>
      <c r="J584" s="2"/>
      <c r="K584" s="2"/>
      <c r="L584" s="2"/>
    </row>
    <row r="585" spans="9:12" ht="15.75" customHeight="1" x14ac:dyDescent="0.25">
      <c r="I585" s="2"/>
      <c r="J585" s="2"/>
      <c r="K585" s="2"/>
      <c r="L585" s="2"/>
    </row>
    <row r="586" spans="9:12" ht="15.75" customHeight="1" x14ac:dyDescent="0.25">
      <c r="I586" s="2"/>
      <c r="J586" s="2"/>
      <c r="K586" s="2"/>
      <c r="L586" s="2"/>
    </row>
    <row r="587" spans="9:12" ht="15.75" customHeight="1" x14ac:dyDescent="0.25">
      <c r="I587" s="2"/>
      <c r="J587" s="2"/>
      <c r="K587" s="2"/>
      <c r="L587" s="2"/>
    </row>
    <row r="588" spans="9:12" ht="15.75" customHeight="1" x14ac:dyDescent="0.25">
      <c r="I588" s="2"/>
      <c r="J588" s="2"/>
      <c r="K588" s="2"/>
      <c r="L588" s="2"/>
    </row>
    <row r="589" spans="9:12" ht="15.75" customHeight="1" x14ac:dyDescent="0.25">
      <c r="I589" s="2"/>
      <c r="J589" s="2"/>
      <c r="K589" s="2"/>
      <c r="L589" s="2"/>
    </row>
    <row r="590" spans="9:12" ht="15.75" customHeight="1" x14ac:dyDescent="0.25">
      <c r="I590" s="2"/>
      <c r="J590" s="2"/>
      <c r="K590" s="2"/>
      <c r="L590" s="2"/>
    </row>
    <row r="591" spans="9:12" ht="15.75" customHeight="1" x14ac:dyDescent="0.25">
      <c r="I591" s="2"/>
      <c r="J591" s="2"/>
      <c r="K591" s="2"/>
      <c r="L591" s="2"/>
    </row>
    <row r="592" spans="9:12" ht="15.75" customHeight="1" x14ac:dyDescent="0.25">
      <c r="I592" s="2"/>
      <c r="J592" s="2"/>
      <c r="K592" s="2"/>
      <c r="L592" s="2"/>
    </row>
    <row r="593" spans="9:12" ht="15.75" customHeight="1" x14ac:dyDescent="0.25">
      <c r="I593" s="2"/>
      <c r="J593" s="2"/>
      <c r="K593" s="2"/>
      <c r="L593" s="2"/>
    </row>
    <row r="594" spans="9:12" ht="15.75" customHeight="1" x14ac:dyDescent="0.25">
      <c r="I594" s="2"/>
      <c r="J594" s="2"/>
      <c r="K594" s="2"/>
      <c r="L594" s="2"/>
    </row>
    <row r="595" spans="9:12" ht="15.75" customHeight="1" x14ac:dyDescent="0.25">
      <c r="I595" s="2"/>
      <c r="J595" s="2"/>
      <c r="K595" s="2"/>
      <c r="L595" s="2"/>
    </row>
    <row r="596" spans="9:12" ht="15.75" customHeight="1" x14ac:dyDescent="0.25">
      <c r="I596" s="2"/>
      <c r="J596" s="2"/>
      <c r="K596" s="2"/>
      <c r="L596" s="2"/>
    </row>
    <row r="597" spans="9:12" ht="15.75" customHeight="1" x14ac:dyDescent="0.25">
      <c r="I597" s="2"/>
      <c r="J597" s="2"/>
      <c r="K597" s="2"/>
      <c r="L597" s="2"/>
    </row>
    <row r="598" spans="9:12" ht="15.75" customHeight="1" x14ac:dyDescent="0.25">
      <c r="I598" s="2"/>
      <c r="J598" s="2"/>
      <c r="K598" s="2"/>
      <c r="L598" s="2"/>
    </row>
    <row r="599" spans="9:12" ht="15.75" customHeight="1" x14ac:dyDescent="0.25">
      <c r="I599" s="2"/>
      <c r="J599" s="2"/>
      <c r="K599" s="2"/>
      <c r="L599" s="2"/>
    </row>
    <row r="600" spans="9:12" ht="15.75" customHeight="1" x14ac:dyDescent="0.25">
      <c r="I600" s="2"/>
      <c r="J600" s="2"/>
      <c r="K600" s="2"/>
      <c r="L600" s="2"/>
    </row>
    <row r="601" spans="9:12" ht="15.75" customHeight="1" x14ac:dyDescent="0.25">
      <c r="I601" s="2"/>
      <c r="J601" s="2"/>
      <c r="K601" s="2"/>
      <c r="L601" s="2"/>
    </row>
    <row r="602" spans="9:12" ht="15.75" customHeight="1" x14ac:dyDescent="0.25">
      <c r="I602" s="2"/>
      <c r="J602" s="2"/>
      <c r="K602" s="2"/>
      <c r="L602" s="2"/>
    </row>
    <row r="603" spans="9:12" ht="15.75" customHeight="1" x14ac:dyDescent="0.25">
      <c r="I603" s="2"/>
      <c r="J603" s="2"/>
      <c r="K603" s="2"/>
      <c r="L603" s="2"/>
    </row>
    <row r="604" spans="9:12" ht="15.75" customHeight="1" x14ac:dyDescent="0.25">
      <c r="I604" s="2"/>
      <c r="J604" s="2"/>
      <c r="K604" s="2"/>
      <c r="L604" s="2"/>
    </row>
    <row r="605" spans="9:12" ht="15.75" customHeight="1" x14ac:dyDescent="0.25">
      <c r="I605" s="2"/>
      <c r="J605" s="2"/>
      <c r="K605" s="2"/>
      <c r="L605" s="2"/>
    </row>
    <row r="606" spans="9:12" ht="15.75" customHeight="1" x14ac:dyDescent="0.25">
      <c r="I606" s="2"/>
      <c r="J606" s="2"/>
      <c r="K606" s="2"/>
      <c r="L606" s="2"/>
    </row>
    <row r="607" spans="9:12" ht="15.75" customHeight="1" x14ac:dyDescent="0.25">
      <c r="I607" s="2"/>
      <c r="J607" s="2"/>
      <c r="K607" s="2"/>
      <c r="L607" s="2"/>
    </row>
    <row r="608" spans="9:12" ht="15.75" customHeight="1" x14ac:dyDescent="0.25">
      <c r="I608" s="2"/>
      <c r="J608" s="2"/>
      <c r="K608" s="2"/>
      <c r="L608" s="2"/>
    </row>
    <row r="609" spans="9:12" ht="15.75" customHeight="1" x14ac:dyDescent="0.25">
      <c r="I609" s="2"/>
      <c r="J609" s="2"/>
      <c r="K609" s="2"/>
      <c r="L609" s="2"/>
    </row>
    <row r="610" spans="9:12" ht="15.75" customHeight="1" x14ac:dyDescent="0.25">
      <c r="I610" s="2"/>
      <c r="J610" s="2"/>
      <c r="K610" s="2"/>
      <c r="L610" s="2"/>
    </row>
    <row r="611" spans="9:12" ht="15.75" customHeight="1" x14ac:dyDescent="0.25">
      <c r="I611" s="2"/>
      <c r="J611" s="2"/>
      <c r="K611" s="2"/>
      <c r="L611" s="2"/>
    </row>
    <row r="612" spans="9:12" ht="15.75" customHeight="1" x14ac:dyDescent="0.25">
      <c r="I612" s="2"/>
      <c r="J612" s="2"/>
      <c r="K612" s="2"/>
      <c r="L612" s="2"/>
    </row>
    <row r="613" spans="9:12" ht="15.75" customHeight="1" x14ac:dyDescent="0.25">
      <c r="I613" s="2"/>
      <c r="J613" s="2"/>
      <c r="K613" s="2"/>
      <c r="L613" s="2"/>
    </row>
    <row r="614" spans="9:12" ht="15.75" customHeight="1" x14ac:dyDescent="0.25">
      <c r="I614" s="2"/>
      <c r="J614" s="2"/>
      <c r="K614" s="2"/>
      <c r="L614" s="2"/>
    </row>
    <row r="615" spans="9:12" ht="15.75" customHeight="1" x14ac:dyDescent="0.25">
      <c r="I615" s="2"/>
      <c r="J615" s="2"/>
      <c r="K615" s="2"/>
      <c r="L615" s="2"/>
    </row>
    <row r="616" spans="9:12" ht="15.75" customHeight="1" x14ac:dyDescent="0.25">
      <c r="I616" s="2"/>
      <c r="J616" s="2"/>
      <c r="K616" s="2"/>
      <c r="L616" s="2"/>
    </row>
    <row r="617" spans="9:12" ht="15.75" customHeight="1" x14ac:dyDescent="0.25">
      <c r="I617" s="2"/>
      <c r="J617" s="2"/>
      <c r="K617" s="2"/>
      <c r="L617" s="2"/>
    </row>
    <row r="618" spans="9:12" ht="15.75" customHeight="1" x14ac:dyDescent="0.25">
      <c r="I618" s="2"/>
      <c r="J618" s="2"/>
      <c r="K618" s="2"/>
      <c r="L618" s="2"/>
    </row>
    <row r="619" spans="9:12" ht="15.75" customHeight="1" x14ac:dyDescent="0.25">
      <c r="I619" s="2"/>
      <c r="J619" s="2"/>
      <c r="K619" s="2"/>
      <c r="L619" s="2"/>
    </row>
    <row r="620" spans="9:12" ht="15.75" customHeight="1" x14ac:dyDescent="0.25">
      <c r="I620" s="2"/>
      <c r="J620" s="2"/>
      <c r="K620" s="2"/>
      <c r="L620" s="2"/>
    </row>
    <row r="621" spans="9:12" ht="15.75" customHeight="1" x14ac:dyDescent="0.25">
      <c r="I621" s="2"/>
      <c r="J621" s="2"/>
      <c r="K621" s="2"/>
      <c r="L621" s="2"/>
    </row>
    <row r="622" spans="9:12" ht="15.75" customHeight="1" x14ac:dyDescent="0.25">
      <c r="I622" s="2"/>
      <c r="J622" s="2"/>
      <c r="K622" s="2"/>
      <c r="L622" s="2"/>
    </row>
    <row r="623" spans="9:12" ht="15.75" customHeight="1" x14ac:dyDescent="0.25">
      <c r="I623" s="2"/>
      <c r="J623" s="2"/>
      <c r="K623" s="2"/>
      <c r="L623" s="2"/>
    </row>
    <row r="624" spans="9:12" ht="15.75" customHeight="1" x14ac:dyDescent="0.25">
      <c r="I624" s="2"/>
      <c r="J624" s="2"/>
      <c r="K624" s="2"/>
      <c r="L624" s="2"/>
    </row>
    <row r="625" spans="9:12" ht="15.75" customHeight="1" x14ac:dyDescent="0.25">
      <c r="I625" s="2"/>
      <c r="J625" s="2"/>
      <c r="K625" s="2"/>
      <c r="L625" s="2"/>
    </row>
    <row r="626" spans="9:12" ht="15.75" customHeight="1" x14ac:dyDescent="0.25">
      <c r="I626" s="2"/>
      <c r="J626" s="2"/>
      <c r="K626" s="2"/>
      <c r="L626" s="2"/>
    </row>
    <row r="627" spans="9:12" ht="15.75" customHeight="1" x14ac:dyDescent="0.25">
      <c r="I627" s="2"/>
      <c r="J627" s="2"/>
      <c r="K627" s="2"/>
      <c r="L627" s="2"/>
    </row>
    <row r="628" spans="9:12" ht="15.75" customHeight="1" x14ac:dyDescent="0.25">
      <c r="I628" s="2"/>
      <c r="J628" s="2"/>
      <c r="K628" s="2"/>
      <c r="L628" s="2"/>
    </row>
    <row r="629" spans="9:12" ht="15.75" customHeight="1" x14ac:dyDescent="0.25">
      <c r="I629" s="2"/>
      <c r="J629" s="2"/>
      <c r="K629" s="2"/>
      <c r="L629" s="2"/>
    </row>
    <row r="630" spans="9:12" ht="15.75" customHeight="1" x14ac:dyDescent="0.25">
      <c r="I630" s="2"/>
      <c r="J630" s="2"/>
      <c r="K630" s="2"/>
      <c r="L630" s="2"/>
    </row>
    <row r="631" spans="9:12" ht="15.75" customHeight="1" x14ac:dyDescent="0.25">
      <c r="I631" s="2"/>
      <c r="J631" s="2"/>
      <c r="K631" s="2"/>
      <c r="L631" s="2"/>
    </row>
    <row r="632" spans="9:12" ht="15.75" customHeight="1" x14ac:dyDescent="0.25">
      <c r="I632" s="2"/>
      <c r="J632" s="2"/>
      <c r="K632" s="2"/>
      <c r="L632" s="2"/>
    </row>
    <row r="633" spans="9:12" ht="15.75" customHeight="1" x14ac:dyDescent="0.25">
      <c r="I633" s="2"/>
      <c r="J633" s="2"/>
      <c r="K633" s="2"/>
      <c r="L633" s="2"/>
    </row>
    <row r="634" spans="9:12" ht="15.75" customHeight="1" x14ac:dyDescent="0.25">
      <c r="I634" s="2"/>
      <c r="J634" s="2"/>
      <c r="K634" s="2"/>
      <c r="L634" s="2"/>
    </row>
    <row r="635" spans="9:12" ht="15.75" customHeight="1" x14ac:dyDescent="0.25">
      <c r="I635" s="2"/>
      <c r="J635" s="2"/>
      <c r="K635" s="2"/>
      <c r="L635" s="2"/>
    </row>
    <row r="636" spans="9:12" ht="15.75" customHeight="1" x14ac:dyDescent="0.25">
      <c r="I636" s="2"/>
      <c r="J636" s="2"/>
      <c r="K636" s="2"/>
      <c r="L636" s="2"/>
    </row>
    <row r="637" spans="9:12" ht="15.75" customHeight="1" x14ac:dyDescent="0.25">
      <c r="I637" s="2"/>
      <c r="J637" s="2"/>
      <c r="K637" s="2"/>
      <c r="L637" s="2"/>
    </row>
    <row r="638" spans="9:12" ht="15.75" customHeight="1" x14ac:dyDescent="0.25">
      <c r="I638" s="2"/>
      <c r="J638" s="2"/>
      <c r="K638" s="2"/>
      <c r="L638" s="2"/>
    </row>
    <row r="639" spans="9:12" ht="15.75" customHeight="1" x14ac:dyDescent="0.25">
      <c r="I639" s="2"/>
      <c r="J639" s="2"/>
      <c r="K639" s="2"/>
      <c r="L639" s="2"/>
    </row>
    <row r="640" spans="9:12" ht="15.75" customHeight="1" x14ac:dyDescent="0.25">
      <c r="I640" s="2"/>
      <c r="J640" s="2"/>
      <c r="K640" s="2"/>
      <c r="L640" s="2"/>
    </row>
    <row r="641" spans="9:12" ht="15.75" customHeight="1" x14ac:dyDescent="0.25">
      <c r="I641" s="2"/>
      <c r="J641" s="2"/>
      <c r="K641" s="2"/>
      <c r="L641" s="2"/>
    </row>
    <row r="642" spans="9:12" ht="15.75" customHeight="1" x14ac:dyDescent="0.25">
      <c r="I642" s="2"/>
      <c r="J642" s="2"/>
      <c r="K642" s="2"/>
      <c r="L642" s="2"/>
    </row>
    <row r="643" spans="9:12" ht="15.75" customHeight="1" x14ac:dyDescent="0.25">
      <c r="I643" s="2"/>
      <c r="J643" s="2"/>
      <c r="K643" s="2"/>
      <c r="L643" s="2"/>
    </row>
    <row r="644" spans="9:12" ht="15.75" customHeight="1" x14ac:dyDescent="0.25">
      <c r="I644" s="2"/>
      <c r="J644" s="2"/>
      <c r="K644" s="2"/>
      <c r="L644" s="2"/>
    </row>
    <row r="645" spans="9:12" ht="15.75" customHeight="1" x14ac:dyDescent="0.25">
      <c r="I645" s="2"/>
      <c r="J645" s="2"/>
      <c r="K645" s="2"/>
      <c r="L645" s="2"/>
    </row>
    <row r="646" spans="9:12" ht="15.75" customHeight="1" x14ac:dyDescent="0.25">
      <c r="I646" s="2"/>
      <c r="J646" s="2"/>
      <c r="K646" s="2"/>
      <c r="L646" s="2"/>
    </row>
    <row r="647" spans="9:12" ht="15.75" customHeight="1" x14ac:dyDescent="0.25">
      <c r="I647" s="2"/>
      <c r="J647" s="2"/>
      <c r="K647" s="2"/>
      <c r="L647" s="2"/>
    </row>
    <row r="648" spans="9:12" ht="15.75" customHeight="1" x14ac:dyDescent="0.25">
      <c r="I648" s="2"/>
      <c r="J648" s="2"/>
      <c r="K648" s="2"/>
      <c r="L648" s="2"/>
    </row>
    <row r="649" spans="9:12" ht="15.75" customHeight="1" x14ac:dyDescent="0.25">
      <c r="I649" s="2"/>
      <c r="J649" s="2"/>
      <c r="K649" s="2"/>
      <c r="L649" s="2"/>
    </row>
    <row r="650" spans="9:12" ht="15.75" customHeight="1" x14ac:dyDescent="0.25">
      <c r="I650" s="2"/>
      <c r="J650" s="2"/>
      <c r="K650" s="2"/>
      <c r="L650" s="2"/>
    </row>
    <row r="651" spans="9:12" ht="15.75" customHeight="1" x14ac:dyDescent="0.25">
      <c r="I651" s="2"/>
      <c r="J651" s="2"/>
      <c r="K651" s="2"/>
      <c r="L651" s="2"/>
    </row>
    <row r="652" spans="9:12" ht="15.75" customHeight="1" x14ac:dyDescent="0.25">
      <c r="I652" s="2"/>
      <c r="J652" s="2"/>
      <c r="K652" s="2"/>
      <c r="L652" s="2"/>
    </row>
    <row r="653" spans="9:12" ht="15.75" customHeight="1" x14ac:dyDescent="0.25">
      <c r="I653" s="2"/>
      <c r="J653" s="2"/>
      <c r="K653" s="2"/>
      <c r="L653" s="2"/>
    </row>
    <row r="654" spans="9:12" ht="15.75" customHeight="1" x14ac:dyDescent="0.25">
      <c r="I654" s="2"/>
      <c r="J654" s="2"/>
      <c r="K654" s="2"/>
      <c r="L654" s="2"/>
    </row>
    <row r="655" spans="9:12" ht="15.75" customHeight="1" x14ac:dyDescent="0.25">
      <c r="I655" s="2"/>
      <c r="J655" s="2"/>
      <c r="K655" s="2"/>
      <c r="L655" s="2"/>
    </row>
    <row r="656" spans="9:12" ht="15.75" customHeight="1" x14ac:dyDescent="0.25">
      <c r="I656" s="2"/>
      <c r="J656" s="2"/>
      <c r="K656" s="2"/>
      <c r="L656" s="2"/>
    </row>
    <row r="657" spans="9:12" ht="15.75" customHeight="1" x14ac:dyDescent="0.25">
      <c r="I657" s="2"/>
      <c r="J657" s="2"/>
      <c r="K657" s="2"/>
      <c r="L657" s="2"/>
    </row>
    <row r="658" spans="9:12" ht="15.75" customHeight="1" x14ac:dyDescent="0.25">
      <c r="I658" s="2"/>
      <c r="J658" s="2"/>
      <c r="K658" s="2"/>
      <c r="L658" s="2"/>
    </row>
    <row r="659" spans="9:12" ht="15.75" customHeight="1" x14ac:dyDescent="0.25">
      <c r="I659" s="2"/>
      <c r="J659" s="2"/>
      <c r="K659" s="2"/>
      <c r="L659" s="2"/>
    </row>
    <row r="660" spans="9:12" ht="15.75" customHeight="1" x14ac:dyDescent="0.25">
      <c r="I660" s="2"/>
      <c r="J660" s="2"/>
      <c r="K660" s="2"/>
      <c r="L660" s="2"/>
    </row>
    <row r="661" spans="9:12" ht="15.75" customHeight="1" x14ac:dyDescent="0.25">
      <c r="I661" s="2"/>
      <c r="J661" s="2"/>
      <c r="K661" s="2"/>
      <c r="L661" s="2"/>
    </row>
    <row r="662" spans="9:12" ht="15.75" customHeight="1" x14ac:dyDescent="0.25">
      <c r="I662" s="2"/>
      <c r="J662" s="2"/>
      <c r="K662" s="2"/>
      <c r="L662" s="2"/>
    </row>
    <row r="663" spans="9:12" ht="15.75" customHeight="1" x14ac:dyDescent="0.25">
      <c r="I663" s="2"/>
      <c r="J663" s="2"/>
      <c r="K663" s="2"/>
      <c r="L663" s="2"/>
    </row>
    <row r="664" spans="9:12" ht="15.75" customHeight="1" x14ac:dyDescent="0.25">
      <c r="I664" s="2"/>
      <c r="J664" s="2"/>
      <c r="K664" s="2"/>
      <c r="L664" s="2"/>
    </row>
    <row r="665" spans="9:12" ht="15.75" customHeight="1" x14ac:dyDescent="0.25">
      <c r="I665" s="2"/>
      <c r="J665" s="2"/>
      <c r="K665" s="2"/>
      <c r="L665" s="2"/>
    </row>
    <row r="666" spans="9:12" ht="15.75" customHeight="1" x14ac:dyDescent="0.25">
      <c r="I666" s="2"/>
      <c r="J666" s="2"/>
      <c r="K666" s="2"/>
      <c r="L666" s="2"/>
    </row>
    <row r="667" spans="9:12" ht="15.75" customHeight="1" x14ac:dyDescent="0.25">
      <c r="I667" s="2"/>
      <c r="J667" s="2"/>
      <c r="K667" s="2"/>
      <c r="L667" s="2"/>
    </row>
    <row r="668" spans="9:12" ht="15.75" customHeight="1" x14ac:dyDescent="0.25">
      <c r="I668" s="2"/>
      <c r="J668" s="2"/>
      <c r="K668" s="2"/>
      <c r="L668" s="2"/>
    </row>
    <row r="669" spans="9:12" ht="15.75" customHeight="1" x14ac:dyDescent="0.25">
      <c r="I669" s="2"/>
      <c r="J669" s="2"/>
      <c r="K669" s="2"/>
      <c r="L669" s="2"/>
    </row>
    <row r="670" spans="9:12" ht="15.75" customHeight="1" x14ac:dyDescent="0.25">
      <c r="I670" s="2"/>
      <c r="J670" s="2"/>
      <c r="K670" s="2"/>
      <c r="L670" s="2"/>
    </row>
    <row r="671" spans="9:12" ht="15.75" customHeight="1" x14ac:dyDescent="0.25">
      <c r="I671" s="2"/>
      <c r="J671" s="2"/>
      <c r="K671" s="2"/>
      <c r="L671" s="2"/>
    </row>
    <row r="672" spans="9:12" ht="15.75" customHeight="1" x14ac:dyDescent="0.25">
      <c r="I672" s="2"/>
      <c r="J672" s="2"/>
      <c r="K672" s="2"/>
      <c r="L672" s="2"/>
    </row>
    <row r="673" spans="9:12" ht="15.75" customHeight="1" x14ac:dyDescent="0.25">
      <c r="I673" s="2"/>
      <c r="J673" s="2"/>
      <c r="K673" s="2"/>
      <c r="L673" s="2"/>
    </row>
    <row r="674" spans="9:12" ht="15.75" customHeight="1" x14ac:dyDescent="0.25">
      <c r="I674" s="2"/>
      <c r="J674" s="2"/>
      <c r="K674" s="2"/>
      <c r="L674" s="2"/>
    </row>
    <row r="675" spans="9:12" ht="15.75" customHeight="1" x14ac:dyDescent="0.25">
      <c r="I675" s="2"/>
      <c r="J675" s="2"/>
      <c r="K675" s="2"/>
      <c r="L675" s="2"/>
    </row>
    <row r="676" spans="9:12" ht="15.75" customHeight="1" x14ac:dyDescent="0.25">
      <c r="I676" s="2"/>
      <c r="J676" s="2"/>
      <c r="K676" s="2"/>
      <c r="L676" s="2"/>
    </row>
    <row r="677" spans="9:12" ht="15.75" customHeight="1" x14ac:dyDescent="0.25">
      <c r="I677" s="2"/>
      <c r="J677" s="2"/>
      <c r="K677" s="2"/>
      <c r="L677" s="2"/>
    </row>
    <row r="678" spans="9:12" ht="15.75" customHeight="1" x14ac:dyDescent="0.25">
      <c r="I678" s="2"/>
      <c r="J678" s="2"/>
      <c r="K678" s="2"/>
      <c r="L678" s="2"/>
    </row>
    <row r="679" spans="9:12" ht="15.75" customHeight="1" x14ac:dyDescent="0.25">
      <c r="I679" s="2"/>
      <c r="J679" s="2"/>
      <c r="K679" s="2"/>
      <c r="L679" s="2"/>
    </row>
    <row r="680" spans="9:12" ht="15.75" customHeight="1" x14ac:dyDescent="0.25">
      <c r="I680" s="2"/>
      <c r="J680" s="2"/>
      <c r="K680" s="2"/>
      <c r="L680" s="2"/>
    </row>
    <row r="681" spans="9:12" ht="15.75" customHeight="1" x14ac:dyDescent="0.25">
      <c r="I681" s="2"/>
      <c r="J681" s="2"/>
      <c r="K681" s="2"/>
      <c r="L681" s="2"/>
    </row>
    <row r="682" spans="9:12" ht="15.75" customHeight="1" x14ac:dyDescent="0.25">
      <c r="I682" s="2"/>
      <c r="J682" s="2"/>
      <c r="K682" s="2"/>
      <c r="L682" s="2"/>
    </row>
    <row r="683" spans="9:12" ht="15.75" customHeight="1" x14ac:dyDescent="0.25">
      <c r="I683" s="2"/>
      <c r="J683" s="2"/>
      <c r="K683" s="2"/>
      <c r="L683" s="2"/>
    </row>
    <row r="684" spans="9:12" ht="15.75" customHeight="1" x14ac:dyDescent="0.25">
      <c r="I684" s="2"/>
      <c r="J684" s="2"/>
      <c r="K684" s="2"/>
      <c r="L684" s="2"/>
    </row>
    <row r="685" spans="9:12" ht="15.75" customHeight="1" x14ac:dyDescent="0.25">
      <c r="I685" s="2"/>
      <c r="J685" s="2"/>
      <c r="K685" s="2"/>
      <c r="L685" s="2"/>
    </row>
    <row r="686" spans="9:12" ht="15.75" customHeight="1" x14ac:dyDescent="0.25">
      <c r="I686" s="2"/>
      <c r="J686" s="2"/>
      <c r="K686" s="2"/>
      <c r="L686" s="2"/>
    </row>
    <row r="687" spans="9:12" ht="15.75" customHeight="1" x14ac:dyDescent="0.25">
      <c r="I687" s="2"/>
      <c r="J687" s="2"/>
      <c r="K687" s="2"/>
      <c r="L687" s="2"/>
    </row>
    <row r="688" spans="9:12" ht="15.75" customHeight="1" x14ac:dyDescent="0.25">
      <c r="I688" s="2"/>
      <c r="J688" s="2"/>
      <c r="K688" s="2"/>
      <c r="L688" s="2"/>
    </row>
    <row r="689" spans="9:12" ht="15.75" customHeight="1" x14ac:dyDescent="0.25">
      <c r="I689" s="2"/>
      <c r="J689" s="2"/>
      <c r="K689" s="2"/>
      <c r="L689" s="2"/>
    </row>
    <row r="690" spans="9:12" ht="15.75" customHeight="1" x14ac:dyDescent="0.25">
      <c r="I690" s="2"/>
      <c r="J690" s="2"/>
      <c r="K690" s="2"/>
      <c r="L690" s="2"/>
    </row>
    <row r="691" spans="9:12" ht="15.75" customHeight="1" x14ac:dyDescent="0.25">
      <c r="I691" s="2"/>
      <c r="J691" s="2"/>
      <c r="K691" s="2"/>
      <c r="L691" s="2"/>
    </row>
    <row r="692" spans="9:12" ht="15.75" customHeight="1" x14ac:dyDescent="0.25">
      <c r="I692" s="2"/>
      <c r="J692" s="2"/>
      <c r="K692" s="2"/>
      <c r="L692" s="2"/>
    </row>
    <row r="693" spans="9:12" ht="15.75" customHeight="1" x14ac:dyDescent="0.25">
      <c r="I693" s="2"/>
      <c r="J693" s="2"/>
      <c r="K693" s="2"/>
      <c r="L693" s="2"/>
    </row>
    <row r="694" spans="9:12" ht="15.75" customHeight="1" x14ac:dyDescent="0.25">
      <c r="I694" s="2"/>
      <c r="J694" s="2"/>
      <c r="K694" s="2"/>
      <c r="L694" s="2"/>
    </row>
    <row r="695" spans="9:12" ht="15.75" customHeight="1" x14ac:dyDescent="0.25">
      <c r="I695" s="2"/>
      <c r="J695" s="2"/>
      <c r="K695" s="2"/>
      <c r="L695" s="2"/>
    </row>
    <row r="696" spans="9:12" ht="15.75" customHeight="1" x14ac:dyDescent="0.25">
      <c r="I696" s="2"/>
      <c r="J696" s="2"/>
      <c r="K696" s="2"/>
      <c r="L696" s="2"/>
    </row>
    <row r="697" spans="9:12" ht="15.75" customHeight="1" x14ac:dyDescent="0.25">
      <c r="I697" s="2"/>
      <c r="J697" s="2"/>
      <c r="K697" s="2"/>
      <c r="L697" s="2"/>
    </row>
    <row r="698" spans="9:12" ht="15.75" customHeight="1" x14ac:dyDescent="0.25">
      <c r="I698" s="2"/>
      <c r="J698" s="2"/>
      <c r="K698" s="2"/>
      <c r="L698" s="2"/>
    </row>
    <row r="699" spans="9:12" ht="15.75" customHeight="1" x14ac:dyDescent="0.25">
      <c r="I699" s="2"/>
      <c r="J699" s="2"/>
      <c r="K699" s="2"/>
      <c r="L699" s="2"/>
    </row>
    <row r="700" spans="9:12" ht="15.75" customHeight="1" x14ac:dyDescent="0.25">
      <c r="I700" s="2"/>
      <c r="J700" s="2"/>
      <c r="K700" s="2"/>
      <c r="L700" s="2"/>
    </row>
    <row r="701" spans="9:12" ht="15.75" customHeight="1" x14ac:dyDescent="0.25">
      <c r="I701" s="2"/>
      <c r="J701" s="2"/>
      <c r="K701" s="2"/>
      <c r="L701" s="2"/>
    </row>
    <row r="702" spans="9:12" ht="15.75" customHeight="1" x14ac:dyDescent="0.25">
      <c r="I702" s="2"/>
      <c r="J702" s="2"/>
      <c r="K702" s="2"/>
      <c r="L702" s="2"/>
    </row>
    <row r="703" spans="9:12" ht="15.75" customHeight="1" x14ac:dyDescent="0.25">
      <c r="I703" s="2"/>
      <c r="J703" s="2"/>
      <c r="K703" s="2"/>
      <c r="L703" s="2"/>
    </row>
    <row r="704" spans="9:12" ht="15.75" customHeight="1" x14ac:dyDescent="0.25">
      <c r="I704" s="2"/>
      <c r="J704" s="2"/>
      <c r="K704" s="2"/>
      <c r="L704" s="2"/>
    </row>
    <row r="705" spans="9:12" ht="15.75" customHeight="1" x14ac:dyDescent="0.25">
      <c r="I705" s="2"/>
      <c r="J705" s="2"/>
      <c r="K705" s="2"/>
      <c r="L705" s="2"/>
    </row>
    <row r="706" spans="9:12" ht="15.75" customHeight="1" x14ac:dyDescent="0.25">
      <c r="I706" s="2"/>
      <c r="J706" s="2"/>
      <c r="K706" s="2"/>
      <c r="L706" s="2"/>
    </row>
    <row r="707" spans="9:12" ht="15.75" customHeight="1" x14ac:dyDescent="0.25">
      <c r="I707" s="2"/>
      <c r="J707" s="2"/>
      <c r="K707" s="2"/>
      <c r="L707" s="2"/>
    </row>
    <row r="708" spans="9:12" ht="15.75" customHeight="1" x14ac:dyDescent="0.25">
      <c r="I708" s="2"/>
      <c r="J708" s="2"/>
      <c r="K708" s="2"/>
      <c r="L708" s="2"/>
    </row>
    <row r="709" spans="9:12" ht="15.75" customHeight="1" x14ac:dyDescent="0.25">
      <c r="I709" s="2"/>
      <c r="J709" s="2"/>
      <c r="K709" s="2"/>
      <c r="L709" s="2"/>
    </row>
    <row r="710" spans="9:12" ht="15.75" customHeight="1" x14ac:dyDescent="0.25">
      <c r="I710" s="2"/>
      <c r="J710" s="2"/>
      <c r="K710" s="2"/>
      <c r="L710" s="2"/>
    </row>
    <row r="711" spans="9:12" ht="15.75" customHeight="1" x14ac:dyDescent="0.25">
      <c r="I711" s="2"/>
      <c r="J711" s="2"/>
      <c r="K711" s="2"/>
      <c r="L711" s="2"/>
    </row>
    <row r="712" spans="9:12" ht="15.75" customHeight="1" x14ac:dyDescent="0.25">
      <c r="I712" s="2"/>
      <c r="J712" s="2"/>
      <c r="K712" s="2"/>
      <c r="L712" s="2"/>
    </row>
    <row r="713" spans="9:12" ht="15.75" customHeight="1" x14ac:dyDescent="0.25">
      <c r="I713" s="2"/>
      <c r="J713" s="2"/>
      <c r="K713" s="2"/>
      <c r="L713" s="2"/>
    </row>
    <row r="714" spans="9:12" ht="15.75" customHeight="1" x14ac:dyDescent="0.25">
      <c r="I714" s="2"/>
      <c r="J714" s="2"/>
      <c r="K714" s="2"/>
      <c r="L714" s="2"/>
    </row>
    <row r="715" spans="9:12" ht="15.75" customHeight="1" x14ac:dyDescent="0.25">
      <c r="I715" s="2"/>
      <c r="J715" s="2"/>
      <c r="K715" s="2"/>
      <c r="L715" s="2"/>
    </row>
    <row r="716" spans="9:12" ht="15.75" customHeight="1" x14ac:dyDescent="0.25">
      <c r="I716" s="2"/>
      <c r="J716" s="2"/>
      <c r="K716" s="2"/>
      <c r="L716" s="2"/>
    </row>
    <row r="717" spans="9:12" ht="15.75" customHeight="1" x14ac:dyDescent="0.25">
      <c r="I717" s="2"/>
      <c r="J717" s="2"/>
      <c r="K717" s="2"/>
      <c r="L717" s="2"/>
    </row>
    <row r="718" spans="9:12" ht="15.75" customHeight="1" x14ac:dyDescent="0.25">
      <c r="I718" s="2"/>
      <c r="J718" s="2"/>
      <c r="K718" s="2"/>
      <c r="L718" s="2"/>
    </row>
    <row r="719" spans="9:12" ht="15.75" customHeight="1" x14ac:dyDescent="0.25">
      <c r="I719" s="2"/>
      <c r="J719" s="2"/>
      <c r="K719" s="2"/>
      <c r="L719" s="2"/>
    </row>
    <row r="720" spans="9:12" ht="15.75" customHeight="1" x14ac:dyDescent="0.25">
      <c r="I720" s="2"/>
      <c r="J720" s="2"/>
      <c r="K720" s="2"/>
      <c r="L720" s="2"/>
    </row>
    <row r="721" spans="9:12" ht="15.75" customHeight="1" x14ac:dyDescent="0.25">
      <c r="I721" s="2"/>
      <c r="J721" s="2"/>
      <c r="K721" s="2"/>
      <c r="L721" s="2"/>
    </row>
    <row r="722" spans="9:12" ht="15.75" customHeight="1" x14ac:dyDescent="0.25">
      <c r="I722" s="2"/>
      <c r="J722" s="2"/>
      <c r="K722" s="2"/>
      <c r="L722" s="2"/>
    </row>
    <row r="723" spans="9:12" ht="15.75" customHeight="1" x14ac:dyDescent="0.25">
      <c r="I723" s="2"/>
      <c r="J723" s="2"/>
      <c r="K723" s="2"/>
      <c r="L723" s="2"/>
    </row>
    <row r="724" spans="9:12" ht="15.75" customHeight="1" x14ac:dyDescent="0.25">
      <c r="I724" s="2"/>
      <c r="J724" s="2"/>
      <c r="K724" s="2"/>
      <c r="L724" s="2"/>
    </row>
    <row r="725" spans="9:12" ht="15.75" customHeight="1" x14ac:dyDescent="0.25">
      <c r="I725" s="2"/>
      <c r="J725" s="2"/>
      <c r="K725" s="2"/>
      <c r="L725" s="2"/>
    </row>
    <row r="726" spans="9:12" ht="15.75" customHeight="1" x14ac:dyDescent="0.25">
      <c r="I726" s="2"/>
      <c r="J726" s="2"/>
      <c r="K726" s="2"/>
      <c r="L726" s="2"/>
    </row>
    <row r="727" spans="9:12" ht="15.75" customHeight="1" x14ac:dyDescent="0.25">
      <c r="I727" s="2"/>
      <c r="J727" s="2"/>
      <c r="K727" s="2"/>
      <c r="L727" s="2"/>
    </row>
    <row r="728" spans="9:12" ht="15.75" customHeight="1" x14ac:dyDescent="0.25">
      <c r="I728" s="2"/>
      <c r="J728" s="2"/>
      <c r="K728" s="2"/>
      <c r="L728" s="2"/>
    </row>
    <row r="729" spans="9:12" ht="15.75" customHeight="1" x14ac:dyDescent="0.25">
      <c r="I729" s="2"/>
      <c r="J729" s="2"/>
      <c r="K729" s="2"/>
      <c r="L729" s="2"/>
    </row>
    <row r="730" spans="9:12" ht="15.75" customHeight="1" x14ac:dyDescent="0.25">
      <c r="I730" s="2"/>
      <c r="J730" s="2"/>
      <c r="K730" s="2"/>
      <c r="L730" s="2"/>
    </row>
    <row r="731" spans="9:12" ht="15.75" customHeight="1" x14ac:dyDescent="0.25">
      <c r="I731" s="2"/>
      <c r="J731" s="2"/>
      <c r="K731" s="2"/>
      <c r="L731" s="2"/>
    </row>
    <row r="732" spans="9:12" ht="15.75" customHeight="1" x14ac:dyDescent="0.25">
      <c r="I732" s="2"/>
      <c r="J732" s="2"/>
      <c r="K732" s="2"/>
      <c r="L732" s="2"/>
    </row>
    <row r="733" spans="9:12" ht="15.75" customHeight="1" x14ac:dyDescent="0.25">
      <c r="I733" s="2"/>
      <c r="J733" s="2"/>
      <c r="K733" s="2"/>
      <c r="L733" s="2"/>
    </row>
    <row r="734" spans="9:12" ht="15.75" customHeight="1" x14ac:dyDescent="0.25">
      <c r="I734" s="2"/>
      <c r="J734" s="2"/>
      <c r="K734" s="2"/>
      <c r="L734" s="2"/>
    </row>
    <row r="735" spans="9:12" ht="15.75" customHeight="1" x14ac:dyDescent="0.25">
      <c r="I735" s="2"/>
      <c r="J735" s="2"/>
      <c r="K735" s="2"/>
      <c r="L735" s="2"/>
    </row>
    <row r="736" spans="9:12" ht="15.75" customHeight="1" x14ac:dyDescent="0.25">
      <c r="I736" s="2"/>
      <c r="J736" s="2"/>
      <c r="K736" s="2"/>
      <c r="L736" s="2"/>
    </row>
    <row r="737" spans="9:12" ht="15.75" customHeight="1" x14ac:dyDescent="0.25">
      <c r="I737" s="2"/>
      <c r="J737" s="2"/>
      <c r="K737" s="2"/>
      <c r="L737" s="2"/>
    </row>
    <row r="738" spans="9:12" ht="15.75" customHeight="1" x14ac:dyDescent="0.25">
      <c r="I738" s="2"/>
      <c r="J738" s="2"/>
      <c r="K738" s="2"/>
      <c r="L738" s="2"/>
    </row>
    <row r="739" spans="9:12" ht="15.75" customHeight="1" x14ac:dyDescent="0.25">
      <c r="I739" s="2"/>
      <c r="J739" s="2"/>
      <c r="K739" s="2"/>
      <c r="L739" s="2"/>
    </row>
    <row r="740" spans="9:12" ht="15.75" customHeight="1" x14ac:dyDescent="0.25">
      <c r="I740" s="2"/>
      <c r="J740" s="2"/>
      <c r="K740" s="2"/>
      <c r="L740" s="2"/>
    </row>
    <row r="741" spans="9:12" ht="15.75" customHeight="1" x14ac:dyDescent="0.25">
      <c r="I741" s="2"/>
      <c r="J741" s="2"/>
      <c r="K741" s="2"/>
      <c r="L741" s="2"/>
    </row>
    <row r="742" spans="9:12" ht="15.75" customHeight="1" x14ac:dyDescent="0.25">
      <c r="I742" s="2"/>
      <c r="J742" s="2"/>
      <c r="K742" s="2"/>
      <c r="L742" s="2"/>
    </row>
    <row r="743" spans="9:12" ht="15.75" customHeight="1" x14ac:dyDescent="0.25">
      <c r="I743" s="2"/>
      <c r="J743" s="2"/>
      <c r="K743" s="2"/>
      <c r="L743" s="2"/>
    </row>
    <row r="744" spans="9:12" ht="15.75" customHeight="1" x14ac:dyDescent="0.25">
      <c r="I744" s="2"/>
      <c r="J744" s="2"/>
      <c r="K744" s="2"/>
      <c r="L744" s="2"/>
    </row>
    <row r="745" spans="9:12" ht="15.75" customHeight="1" x14ac:dyDescent="0.25">
      <c r="I745" s="2"/>
      <c r="J745" s="2"/>
      <c r="K745" s="2"/>
      <c r="L745" s="2"/>
    </row>
    <row r="746" spans="9:12" ht="15.75" customHeight="1" x14ac:dyDescent="0.25">
      <c r="I746" s="2"/>
      <c r="J746" s="2"/>
      <c r="K746" s="2"/>
      <c r="L746" s="2"/>
    </row>
    <row r="747" spans="9:12" ht="15.75" customHeight="1" x14ac:dyDescent="0.25">
      <c r="I747" s="2"/>
      <c r="J747" s="2"/>
      <c r="K747" s="2"/>
      <c r="L747" s="2"/>
    </row>
    <row r="748" spans="9:12" ht="15.75" customHeight="1" x14ac:dyDescent="0.25">
      <c r="I748" s="2"/>
      <c r="J748" s="2"/>
      <c r="K748" s="2"/>
      <c r="L748" s="2"/>
    </row>
    <row r="749" spans="9:12" ht="15.75" customHeight="1" x14ac:dyDescent="0.25">
      <c r="I749" s="2"/>
      <c r="J749" s="2"/>
      <c r="K749" s="2"/>
      <c r="L749" s="2"/>
    </row>
    <row r="750" spans="9:12" ht="15.75" customHeight="1" x14ac:dyDescent="0.25">
      <c r="I750" s="2"/>
      <c r="J750" s="2"/>
      <c r="K750" s="2"/>
      <c r="L750" s="2"/>
    </row>
    <row r="751" spans="9:12" ht="15.75" customHeight="1" x14ac:dyDescent="0.25">
      <c r="I751" s="2"/>
      <c r="J751" s="2"/>
      <c r="K751" s="2"/>
      <c r="L751" s="2"/>
    </row>
    <row r="752" spans="9:12" ht="15.75" customHeight="1" x14ac:dyDescent="0.25">
      <c r="I752" s="2"/>
      <c r="J752" s="2"/>
      <c r="K752" s="2"/>
      <c r="L752" s="2"/>
    </row>
    <row r="753" spans="9:12" ht="15.75" customHeight="1" x14ac:dyDescent="0.25">
      <c r="I753" s="2"/>
      <c r="J753" s="2"/>
      <c r="K753" s="2"/>
      <c r="L753" s="2"/>
    </row>
    <row r="754" spans="9:12" ht="15.75" customHeight="1" x14ac:dyDescent="0.25">
      <c r="I754" s="2"/>
      <c r="J754" s="2"/>
      <c r="K754" s="2"/>
      <c r="L754" s="2"/>
    </row>
    <row r="755" spans="9:12" ht="15.75" customHeight="1" x14ac:dyDescent="0.25">
      <c r="I755" s="2"/>
      <c r="J755" s="2"/>
      <c r="K755" s="2"/>
      <c r="L755" s="2"/>
    </row>
    <row r="756" spans="9:12" ht="15.75" customHeight="1" x14ac:dyDescent="0.25">
      <c r="I756" s="2"/>
      <c r="J756" s="2"/>
      <c r="K756" s="2"/>
      <c r="L756" s="2"/>
    </row>
    <row r="757" spans="9:12" ht="15.75" customHeight="1" x14ac:dyDescent="0.25">
      <c r="I757" s="2"/>
      <c r="J757" s="2"/>
      <c r="K757" s="2"/>
      <c r="L757" s="2"/>
    </row>
    <row r="758" spans="9:12" ht="15.75" customHeight="1" x14ac:dyDescent="0.25">
      <c r="I758" s="2"/>
      <c r="J758" s="2"/>
      <c r="K758" s="2"/>
      <c r="L758" s="2"/>
    </row>
    <row r="759" spans="9:12" ht="15.75" customHeight="1" x14ac:dyDescent="0.25">
      <c r="I759" s="2"/>
      <c r="J759" s="2"/>
      <c r="K759" s="2"/>
      <c r="L759" s="2"/>
    </row>
    <row r="760" spans="9:12" ht="15.75" customHeight="1" x14ac:dyDescent="0.25">
      <c r="I760" s="2"/>
      <c r="J760" s="2"/>
      <c r="K760" s="2"/>
      <c r="L760" s="2"/>
    </row>
    <row r="761" spans="9:12" ht="15.75" customHeight="1" x14ac:dyDescent="0.25">
      <c r="I761" s="2"/>
      <c r="J761" s="2"/>
      <c r="K761" s="2"/>
      <c r="L761" s="2"/>
    </row>
    <row r="762" spans="9:12" ht="15.75" customHeight="1" x14ac:dyDescent="0.25">
      <c r="I762" s="2"/>
      <c r="J762" s="2"/>
      <c r="K762" s="2"/>
      <c r="L762" s="2"/>
    </row>
    <row r="763" spans="9:12" ht="15.75" customHeight="1" x14ac:dyDescent="0.25">
      <c r="I763" s="2"/>
      <c r="J763" s="2"/>
      <c r="K763" s="2"/>
      <c r="L763" s="2"/>
    </row>
    <row r="764" spans="9:12" ht="15.75" customHeight="1" x14ac:dyDescent="0.25">
      <c r="I764" s="2"/>
      <c r="J764" s="2"/>
      <c r="K764" s="2"/>
      <c r="L764" s="2"/>
    </row>
    <row r="765" spans="9:12" ht="15.75" customHeight="1" x14ac:dyDescent="0.25">
      <c r="I765" s="2"/>
      <c r="J765" s="2"/>
      <c r="K765" s="2"/>
      <c r="L765" s="2"/>
    </row>
    <row r="766" spans="9:12" ht="15.75" customHeight="1" x14ac:dyDescent="0.25">
      <c r="I766" s="2"/>
      <c r="J766" s="2"/>
      <c r="K766" s="2"/>
      <c r="L766" s="2"/>
    </row>
    <row r="767" spans="9:12" ht="15.75" customHeight="1" x14ac:dyDescent="0.25">
      <c r="I767" s="2"/>
      <c r="J767" s="2"/>
      <c r="K767" s="2"/>
      <c r="L767" s="2"/>
    </row>
    <row r="768" spans="9:12" ht="15.75" customHeight="1" x14ac:dyDescent="0.25">
      <c r="I768" s="2"/>
      <c r="J768" s="2"/>
      <c r="K768" s="2"/>
      <c r="L768" s="2"/>
    </row>
    <row r="769" spans="9:12" ht="15.75" customHeight="1" x14ac:dyDescent="0.25">
      <c r="I769" s="2"/>
      <c r="J769" s="2"/>
      <c r="K769" s="2"/>
      <c r="L769" s="2"/>
    </row>
    <row r="770" spans="9:12" ht="15.75" customHeight="1" x14ac:dyDescent="0.25">
      <c r="I770" s="2"/>
      <c r="J770" s="2"/>
      <c r="K770" s="2"/>
      <c r="L770" s="2"/>
    </row>
    <row r="771" spans="9:12" ht="15.75" customHeight="1" x14ac:dyDescent="0.25">
      <c r="I771" s="2"/>
      <c r="J771" s="2"/>
      <c r="K771" s="2"/>
      <c r="L771" s="2"/>
    </row>
    <row r="772" spans="9:12" ht="15.75" customHeight="1" x14ac:dyDescent="0.25">
      <c r="I772" s="2"/>
      <c r="J772" s="2"/>
      <c r="K772" s="2"/>
      <c r="L772" s="2"/>
    </row>
    <row r="773" spans="9:12" ht="15.75" customHeight="1" x14ac:dyDescent="0.25">
      <c r="I773" s="2"/>
      <c r="J773" s="2"/>
      <c r="K773" s="2"/>
      <c r="L773" s="2"/>
    </row>
    <row r="774" spans="9:12" ht="15.75" customHeight="1" x14ac:dyDescent="0.25">
      <c r="I774" s="2"/>
      <c r="J774" s="2"/>
      <c r="K774" s="2"/>
      <c r="L774" s="2"/>
    </row>
    <row r="775" spans="9:12" ht="15.75" customHeight="1" x14ac:dyDescent="0.25">
      <c r="I775" s="2"/>
      <c r="J775" s="2"/>
      <c r="K775" s="2"/>
      <c r="L775" s="2"/>
    </row>
    <row r="776" spans="9:12" ht="15.75" customHeight="1" x14ac:dyDescent="0.25">
      <c r="I776" s="2"/>
      <c r="J776" s="2"/>
      <c r="K776" s="2"/>
      <c r="L776" s="2"/>
    </row>
    <row r="777" spans="9:12" ht="15.75" customHeight="1" x14ac:dyDescent="0.25">
      <c r="I777" s="2"/>
      <c r="J777" s="2"/>
      <c r="K777" s="2"/>
      <c r="L777" s="2"/>
    </row>
    <row r="778" spans="9:12" ht="15.75" customHeight="1" x14ac:dyDescent="0.25">
      <c r="I778" s="2"/>
      <c r="J778" s="2"/>
      <c r="K778" s="2"/>
      <c r="L778" s="2"/>
    </row>
    <row r="779" spans="9:12" ht="15.75" customHeight="1" x14ac:dyDescent="0.25">
      <c r="I779" s="2"/>
      <c r="J779" s="2"/>
      <c r="K779" s="2"/>
      <c r="L779" s="2"/>
    </row>
    <row r="780" spans="9:12" ht="15.75" customHeight="1" x14ac:dyDescent="0.25">
      <c r="I780" s="2"/>
      <c r="J780" s="2"/>
      <c r="K780" s="2"/>
      <c r="L780" s="2"/>
    </row>
    <row r="781" spans="9:12" ht="15.75" customHeight="1" x14ac:dyDescent="0.25">
      <c r="I781" s="2"/>
      <c r="J781" s="2"/>
      <c r="K781" s="2"/>
      <c r="L781" s="2"/>
    </row>
    <row r="782" spans="9:12" ht="15.75" customHeight="1" x14ac:dyDescent="0.25">
      <c r="I782" s="2"/>
      <c r="J782" s="2"/>
      <c r="K782" s="2"/>
      <c r="L782" s="2"/>
    </row>
    <row r="783" spans="9:12" ht="15.75" customHeight="1" x14ac:dyDescent="0.25">
      <c r="I783" s="2"/>
      <c r="J783" s="2"/>
      <c r="K783" s="2"/>
      <c r="L783" s="2"/>
    </row>
    <row r="784" spans="9:12" ht="15.75" customHeight="1" x14ac:dyDescent="0.25">
      <c r="I784" s="2"/>
      <c r="J784" s="2"/>
      <c r="K784" s="2"/>
      <c r="L784" s="2"/>
    </row>
    <row r="785" spans="9:12" ht="15.75" customHeight="1" x14ac:dyDescent="0.25">
      <c r="I785" s="2"/>
      <c r="J785" s="2"/>
      <c r="K785" s="2"/>
      <c r="L785" s="2"/>
    </row>
    <row r="786" spans="9:12" ht="15.75" customHeight="1" x14ac:dyDescent="0.25">
      <c r="I786" s="2"/>
      <c r="J786" s="2"/>
      <c r="K786" s="2"/>
      <c r="L786" s="2"/>
    </row>
    <row r="787" spans="9:12" ht="15.75" customHeight="1" x14ac:dyDescent="0.25">
      <c r="I787" s="2"/>
      <c r="J787" s="2"/>
      <c r="K787" s="2"/>
      <c r="L787" s="2"/>
    </row>
    <row r="788" spans="9:12" ht="15.75" customHeight="1" x14ac:dyDescent="0.25">
      <c r="I788" s="2"/>
      <c r="J788" s="2"/>
      <c r="K788" s="2"/>
      <c r="L788" s="2"/>
    </row>
    <row r="789" spans="9:12" ht="15.75" customHeight="1" x14ac:dyDescent="0.25">
      <c r="I789" s="2"/>
      <c r="J789" s="2"/>
      <c r="K789" s="2"/>
      <c r="L789" s="2"/>
    </row>
    <row r="790" spans="9:12" ht="15.75" customHeight="1" x14ac:dyDescent="0.25">
      <c r="I790" s="2"/>
      <c r="J790" s="2"/>
      <c r="K790" s="2"/>
      <c r="L790" s="2"/>
    </row>
    <row r="791" spans="9:12" ht="15.75" customHeight="1" x14ac:dyDescent="0.25">
      <c r="I791" s="2"/>
      <c r="J791" s="2"/>
      <c r="K791" s="2"/>
      <c r="L791" s="2"/>
    </row>
    <row r="792" spans="9:12" ht="15.75" customHeight="1" x14ac:dyDescent="0.25">
      <c r="I792" s="2"/>
      <c r="J792" s="2"/>
      <c r="K792" s="2"/>
      <c r="L792" s="2"/>
    </row>
    <row r="793" spans="9:12" ht="15.75" customHeight="1" x14ac:dyDescent="0.25">
      <c r="I793" s="2"/>
      <c r="J793" s="2"/>
      <c r="K793" s="2"/>
      <c r="L793" s="2"/>
    </row>
    <row r="794" spans="9:12" ht="15.75" customHeight="1" x14ac:dyDescent="0.25">
      <c r="I794" s="2"/>
      <c r="J794" s="2"/>
      <c r="K794" s="2"/>
      <c r="L794" s="2"/>
    </row>
    <row r="795" spans="9:12" ht="15.75" customHeight="1" x14ac:dyDescent="0.25">
      <c r="I795" s="2"/>
      <c r="J795" s="2"/>
      <c r="K795" s="2"/>
      <c r="L795" s="2"/>
    </row>
    <row r="796" spans="9:12" ht="15.75" customHeight="1" x14ac:dyDescent="0.25">
      <c r="I796" s="2"/>
      <c r="J796" s="2"/>
      <c r="K796" s="2"/>
      <c r="L796" s="2"/>
    </row>
    <row r="797" spans="9:12" ht="15.75" customHeight="1" x14ac:dyDescent="0.25">
      <c r="I797" s="2"/>
      <c r="J797" s="2"/>
      <c r="K797" s="2"/>
      <c r="L797" s="2"/>
    </row>
    <row r="798" spans="9:12" ht="15.75" customHeight="1" x14ac:dyDescent="0.25">
      <c r="I798" s="2"/>
      <c r="J798" s="2"/>
      <c r="K798" s="2"/>
      <c r="L798" s="2"/>
    </row>
    <row r="799" spans="9:12" ht="15.75" customHeight="1" x14ac:dyDescent="0.25">
      <c r="I799" s="2"/>
      <c r="J799" s="2"/>
      <c r="K799" s="2"/>
      <c r="L799" s="2"/>
    </row>
    <row r="800" spans="9:12" ht="15.75" customHeight="1" x14ac:dyDescent="0.25">
      <c r="I800" s="2"/>
      <c r="J800" s="2"/>
      <c r="K800" s="2"/>
      <c r="L800" s="2"/>
    </row>
    <row r="801" spans="9:12" ht="15.75" customHeight="1" x14ac:dyDescent="0.25">
      <c r="I801" s="2"/>
      <c r="J801" s="2"/>
      <c r="K801" s="2"/>
      <c r="L801" s="2"/>
    </row>
    <row r="802" spans="9:12" ht="15.75" customHeight="1" x14ac:dyDescent="0.25">
      <c r="I802" s="2"/>
      <c r="J802" s="2"/>
      <c r="K802" s="2"/>
      <c r="L802" s="2"/>
    </row>
    <row r="803" spans="9:12" ht="15.75" customHeight="1" x14ac:dyDescent="0.25">
      <c r="I803" s="2"/>
      <c r="J803" s="2"/>
      <c r="K803" s="2"/>
      <c r="L803" s="2"/>
    </row>
    <row r="804" spans="9:12" ht="15.75" customHeight="1" x14ac:dyDescent="0.25">
      <c r="I804" s="2"/>
      <c r="J804" s="2"/>
      <c r="K804" s="2"/>
      <c r="L804" s="2"/>
    </row>
    <row r="805" spans="9:12" ht="15.75" customHeight="1" x14ac:dyDescent="0.25">
      <c r="I805" s="2"/>
      <c r="J805" s="2"/>
      <c r="K805" s="2"/>
      <c r="L805" s="2"/>
    </row>
    <row r="806" spans="9:12" ht="15.75" customHeight="1" x14ac:dyDescent="0.25">
      <c r="I806" s="2"/>
      <c r="J806" s="2"/>
      <c r="K806" s="2"/>
      <c r="L806" s="2"/>
    </row>
    <row r="807" spans="9:12" ht="15.75" customHeight="1" x14ac:dyDescent="0.25">
      <c r="I807" s="2"/>
      <c r="J807" s="2"/>
      <c r="K807" s="2"/>
      <c r="L807" s="2"/>
    </row>
    <row r="808" spans="9:12" ht="15.75" customHeight="1" x14ac:dyDescent="0.25">
      <c r="I808" s="2"/>
      <c r="J808" s="2"/>
      <c r="K808" s="2"/>
      <c r="L808" s="2"/>
    </row>
    <row r="809" spans="9:12" ht="15.75" customHeight="1" x14ac:dyDescent="0.25">
      <c r="I809" s="2"/>
      <c r="J809" s="2"/>
      <c r="K809" s="2"/>
      <c r="L809" s="2"/>
    </row>
    <row r="810" spans="9:12" ht="15.75" customHeight="1" x14ac:dyDescent="0.25">
      <c r="I810" s="2"/>
      <c r="J810" s="2"/>
      <c r="K810" s="2"/>
      <c r="L810" s="2"/>
    </row>
    <row r="811" spans="9:12" ht="15.75" customHeight="1" x14ac:dyDescent="0.25">
      <c r="I811" s="2"/>
      <c r="J811" s="2"/>
      <c r="K811" s="2"/>
      <c r="L811" s="2"/>
    </row>
    <row r="812" spans="9:12" ht="15.75" customHeight="1" x14ac:dyDescent="0.25">
      <c r="I812" s="2"/>
      <c r="J812" s="2"/>
      <c r="K812" s="2"/>
      <c r="L812" s="2"/>
    </row>
    <row r="813" spans="9:12" ht="15.75" customHeight="1" x14ac:dyDescent="0.25">
      <c r="I813" s="2"/>
      <c r="J813" s="2"/>
      <c r="K813" s="2"/>
      <c r="L813" s="2"/>
    </row>
    <row r="814" spans="9:12" ht="15.75" customHeight="1" x14ac:dyDescent="0.25">
      <c r="I814" s="2"/>
      <c r="J814" s="2"/>
      <c r="K814" s="2"/>
      <c r="L814" s="2"/>
    </row>
    <row r="815" spans="9:12" ht="15.75" customHeight="1" x14ac:dyDescent="0.25">
      <c r="I815" s="2"/>
      <c r="J815" s="2"/>
      <c r="K815" s="2"/>
      <c r="L815" s="2"/>
    </row>
    <row r="816" spans="9:12" ht="15.75" customHeight="1" x14ac:dyDescent="0.25">
      <c r="I816" s="2"/>
      <c r="J816" s="2"/>
      <c r="K816" s="2"/>
      <c r="L816" s="2"/>
    </row>
    <row r="817" spans="9:12" ht="15.75" customHeight="1" x14ac:dyDescent="0.25">
      <c r="I817" s="2"/>
      <c r="J817" s="2"/>
      <c r="K817" s="2"/>
      <c r="L817" s="2"/>
    </row>
    <row r="818" spans="9:12" ht="15.75" customHeight="1" x14ac:dyDescent="0.25">
      <c r="I818" s="2"/>
      <c r="J818" s="2"/>
      <c r="K818" s="2"/>
      <c r="L818" s="2"/>
    </row>
    <row r="819" spans="9:12" ht="15.75" customHeight="1" x14ac:dyDescent="0.25">
      <c r="I819" s="2"/>
      <c r="J819" s="2"/>
      <c r="K819" s="2"/>
      <c r="L819" s="2"/>
    </row>
    <row r="820" spans="9:12" ht="15.75" customHeight="1" x14ac:dyDescent="0.25">
      <c r="I820" s="2"/>
      <c r="J820" s="2"/>
      <c r="K820" s="2"/>
      <c r="L820" s="2"/>
    </row>
    <row r="821" spans="9:12" ht="15.75" customHeight="1" x14ac:dyDescent="0.25">
      <c r="I821" s="2"/>
      <c r="J821" s="2"/>
      <c r="K821" s="2"/>
      <c r="L821" s="2"/>
    </row>
    <row r="822" spans="9:12" ht="15.75" customHeight="1" x14ac:dyDescent="0.25">
      <c r="I822" s="2"/>
      <c r="J822" s="2"/>
      <c r="K822" s="2"/>
      <c r="L822" s="2"/>
    </row>
    <row r="823" spans="9:12" ht="15.75" customHeight="1" x14ac:dyDescent="0.25">
      <c r="I823" s="2"/>
      <c r="J823" s="2"/>
      <c r="K823" s="2"/>
      <c r="L823" s="2"/>
    </row>
    <row r="824" spans="9:12" ht="15.75" customHeight="1" x14ac:dyDescent="0.25">
      <c r="I824" s="2"/>
      <c r="J824" s="2"/>
      <c r="K824" s="2"/>
      <c r="L824" s="2"/>
    </row>
    <row r="825" spans="9:12" ht="15.75" customHeight="1" x14ac:dyDescent="0.25">
      <c r="I825" s="2"/>
      <c r="J825" s="2"/>
      <c r="K825" s="2"/>
      <c r="L825" s="2"/>
    </row>
    <row r="826" spans="9:12" ht="15.75" customHeight="1" x14ac:dyDescent="0.25">
      <c r="I826" s="2"/>
      <c r="J826" s="2"/>
      <c r="K826" s="2"/>
      <c r="L826" s="2"/>
    </row>
    <row r="827" spans="9:12" ht="15.75" customHeight="1" x14ac:dyDescent="0.25">
      <c r="I827" s="2"/>
      <c r="J827" s="2"/>
      <c r="K827" s="2"/>
      <c r="L827" s="2"/>
    </row>
    <row r="828" spans="9:12" ht="15.75" customHeight="1" x14ac:dyDescent="0.25">
      <c r="I828" s="2"/>
      <c r="J828" s="2"/>
      <c r="K828" s="2"/>
      <c r="L828" s="2"/>
    </row>
    <row r="829" spans="9:12" ht="15.75" customHeight="1" x14ac:dyDescent="0.25">
      <c r="I829" s="2"/>
      <c r="J829" s="2"/>
      <c r="K829" s="2"/>
      <c r="L829" s="2"/>
    </row>
    <row r="830" spans="9:12" ht="15.75" customHeight="1" x14ac:dyDescent="0.25">
      <c r="I830" s="2"/>
      <c r="J830" s="2"/>
      <c r="K830" s="2"/>
      <c r="L830" s="2"/>
    </row>
    <row r="831" spans="9:12" ht="15.75" customHeight="1" x14ac:dyDescent="0.25">
      <c r="I831" s="2"/>
      <c r="J831" s="2"/>
      <c r="K831" s="2"/>
      <c r="L831" s="2"/>
    </row>
    <row r="832" spans="9:12" ht="15.75" customHeight="1" x14ac:dyDescent="0.25">
      <c r="I832" s="2"/>
      <c r="J832" s="2"/>
      <c r="K832" s="2"/>
      <c r="L832" s="2"/>
    </row>
    <row r="833" spans="9:12" ht="15.75" customHeight="1" x14ac:dyDescent="0.25">
      <c r="I833" s="2"/>
      <c r="J833" s="2"/>
      <c r="K833" s="2"/>
      <c r="L833" s="2"/>
    </row>
    <row r="834" spans="9:12" ht="15.75" customHeight="1" x14ac:dyDescent="0.25">
      <c r="I834" s="2"/>
      <c r="J834" s="2"/>
      <c r="K834" s="2"/>
      <c r="L834" s="2"/>
    </row>
    <row r="835" spans="9:12" ht="15.75" customHeight="1" x14ac:dyDescent="0.25">
      <c r="I835" s="2"/>
      <c r="J835" s="2"/>
      <c r="K835" s="2"/>
      <c r="L835" s="2"/>
    </row>
    <row r="836" spans="9:12" ht="15.75" customHeight="1" x14ac:dyDescent="0.25">
      <c r="I836" s="2"/>
      <c r="J836" s="2"/>
      <c r="K836" s="2"/>
      <c r="L836" s="2"/>
    </row>
    <row r="837" spans="9:12" ht="15.75" customHeight="1" x14ac:dyDescent="0.25">
      <c r="I837" s="2"/>
      <c r="J837" s="2"/>
      <c r="K837" s="2"/>
      <c r="L837" s="2"/>
    </row>
    <row r="838" spans="9:12" ht="15.75" customHeight="1" x14ac:dyDescent="0.25">
      <c r="I838" s="2"/>
      <c r="J838" s="2"/>
      <c r="K838" s="2"/>
      <c r="L838" s="2"/>
    </row>
    <row r="839" spans="9:12" ht="15.75" customHeight="1" x14ac:dyDescent="0.25">
      <c r="I839" s="2"/>
      <c r="J839" s="2"/>
      <c r="K839" s="2"/>
      <c r="L839" s="2"/>
    </row>
    <row r="840" spans="9:12" ht="15.75" customHeight="1" x14ac:dyDescent="0.25">
      <c r="I840" s="2"/>
      <c r="J840" s="2"/>
      <c r="K840" s="2"/>
      <c r="L840" s="2"/>
    </row>
    <row r="841" spans="9:12" ht="15.75" customHeight="1" x14ac:dyDescent="0.25">
      <c r="I841" s="2"/>
      <c r="J841" s="2"/>
      <c r="K841" s="2"/>
      <c r="L841" s="2"/>
    </row>
    <row r="842" spans="9:12" ht="15.75" customHeight="1" x14ac:dyDescent="0.25">
      <c r="I842" s="2"/>
      <c r="J842" s="2"/>
      <c r="K842" s="2"/>
      <c r="L842" s="2"/>
    </row>
    <row r="843" spans="9:12" ht="15.75" customHeight="1" x14ac:dyDescent="0.25">
      <c r="I843" s="2"/>
      <c r="J843" s="2"/>
      <c r="K843" s="2"/>
      <c r="L843" s="2"/>
    </row>
    <row r="844" spans="9:12" ht="15.75" customHeight="1" x14ac:dyDescent="0.25">
      <c r="I844" s="2"/>
      <c r="J844" s="2"/>
      <c r="K844" s="2"/>
      <c r="L844" s="2"/>
    </row>
    <row r="845" spans="9:12" ht="15.75" customHeight="1" x14ac:dyDescent="0.25">
      <c r="I845" s="2"/>
      <c r="J845" s="2"/>
      <c r="K845" s="2"/>
      <c r="L845" s="2"/>
    </row>
    <row r="846" spans="9:12" ht="15.75" customHeight="1" x14ac:dyDescent="0.25">
      <c r="I846" s="2"/>
      <c r="J846" s="2"/>
      <c r="K846" s="2"/>
      <c r="L846" s="2"/>
    </row>
    <row r="847" spans="9:12" ht="15.75" customHeight="1" x14ac:dyDescent="0.25">
      <c r="I847" s="2"/>
      <c r="J847" s="2"/>
      <c r="K847" s="2"/>
      <c r="L847" s="2"/>
    </row>
    <row r="848" spans="9:12" ht="15.75" customHeight="1" x14ac:dyDescent="0.25">
      <c r="I848" s="2"/>
      <c r="J848" s="2"/>
      <c r="K848" s="2"/>
      <c r="L848" s="2"/>
    </row>
    <row r="849" spans="9:12" ht="15.75" customHeight="1" x14ac:dyDescent="0.25">
      <c r="I849" s="2"/>
      <c r="J849" s="2"/>
      <c r="K849" s="2"/>
      <c r="L849" s="2"/>
    </row>
    <row r="850" spans="9:12" ht="15.75" customHeight="1" x14ac:dyDescent="0.25">
      <c r="I850" s="2"/>
      <c r="J850" s="2"/>
      <c r="K850" s="2"/>
      <c r="L850" s="2"/>
    </row>
    <row r="851" spans="9:12" ht="15.75" customHeight="1" x14ac:dyDescent="0.25">
      <c r="I851" s="2"/>
      <c r="J851" s="2"/>
      <c r="K851" s="2"/>
      <c r="L851" s="2"/>
    </row>
    <row r="852" spans="9:12" ht="15.75" customHeight="1" x14ac:dyDescent="0.25">
      <c r="I852" s="2"/>
      <c r="J852" s="2"/>
      <c r="K852" s="2"/>
      <c r="L852" s="2"/>
    </row>
    <row r="853" spans="9:12" ht="15.75" customHeight="1" x14ac:dyDescent="0.25">
      <c r="I853" s="2"/>
      <c r="J853" s="2"/>
      <c r="K853" s="2"/>
      <c r="L853" s="2"/>
    </row>
    <row r="854" spans="9:12" ht="15.75" customHeight="1" x14ac:dyDescent="0.25">
      <c r="I854" s="2"/>
      <c r="J854" s="2"/>
      <c r="K854" s="2"/>
      <c r="L854" s="2"/>
    </row>
    <row r="855" spans="9:12" ht="15.75" customHeight="1" x14ac:dyDescent="0.25">
      <c r="I855" s="2"/>
      <c r="J855" s="2"/>
      <c r="K855" s="2"/>
      <c r="L855" s="2"/>
    </row>
    <row r="856" spans="9:12" ht="15.75" customHeight="1" x14ac:dyDescent="0.25">
      <c r="I856" s="2"/>
      <c r="J856" s="2"/>
      <c r="K856" s="2"/>
      <c r="L856" s="2"/>
    </row>
    <row r="857" spans="9:12" ht="15.75" customHeight="1" x14ac:dyDescent="0.25">
      <c r="I857" s="2"/>
      <c r="J857" s="2"/>
      <c r="K857" s="2"/>
      <c r="L857" s="2"/>
    </row>
    <row r="858" spans="9:12" ht="15.75" customHeight="1" x14ac:dyDescent="0.25">
      <c r="I858" s="2"/>
      <c r="J858" s="2"/>
      <c r="K858" s="2"/>
      <c r="L858" s="2"/>
    </row>
    <row r="859" spans="9:12" ht="15.75" customHeight="1" x14ac:dyDescent="0.25">
      <c r="I859" s="2"/>
      <c r="J859" s="2"/>
      <c r="K859" s="2"/>
      <c r="L859" s="2"/>
    </row>
    <row r="860" spans="9:12" ht="15.75" customHeight="1" x14ac:dyDescent="0.25">
      <c r="I860" s="2"/>
      <c r="J860" s="2"/>
      <c r="K860" s="2"/>
      <c r="L860" s="2"/>
    </row>
    <row r="861" spans="9:12" ht="15.75" customHeight="1" x14ac:dyDescent="0.25">
      <c r="I861" s="2"/>
      <c r="J861" s="2"/>
      <c r="K861" s="2"/>
      <c r="L861" s="2"/>
    </row>
    <row r="862" spans="9:12" ht="15.75" customHeight="1" x14ac:dyDescent="0.25">
      <c r="I862" s="2"/>
      <c r="J862" s="2"/>
      <c r="K862" s="2"/>
      <c r="L862" s="2"/>
    </row>
    <row r="863" spans="9:12" ht="15.75" customHeight="1" x14ac:dyDescent="0.25">
      <c r="I863" s="2"/>
      <c r="J863" s="2"/>
      <c r="K863" s="2"/>
      <c r="L863" s="2"/>
    </row>
    <row r="864" spans="9:12" ht="15.75" customHeight="1" x14ac:dyDescent="0.25">
      <c r="I864" s="2"/>
      <c r="J864" s="2"/>
      <c r="K864" s="2"/>
      <c r="L864" s="2"/>
    </row>
    <row r="865" spans="9:12" ht="15.75" customHeight="1" x14ac:dyDescent="0.25">
      <c r="I865" s="2"/>
      <c r="J865" s="2"/>
      <c r="K865" s="2"/>
      <c r="L865" s="2"/>
    </row>
    <row r="866" spans="9:12" ht="15.75" customHeight="1" x14ac:dyDescent="0.25">
      <c r="I866" s="2"/>
      <c r="J866" s="2"/>
      <c r="K866" s="2"/>
      <c r="L866" s="2"/>
    </row>
    <row r="867" spans="9:12" ht="15.75" customHeight="1" x14ac:dyDescent="0.25">
      <c r="I867" s="2"/>
      <c r="J867" s="2"/>
      <c r="K867" s="2"/>
      <c r="L867" s="2"/>
    </row>
    <row r="868" spans="9:12" ht="15.75" customHeight="1" x14ac:dyDescent="0.25">
      <c r="I868" s="2"/>
      <c r="J868" s="2"/>
      <c r="K868" s="2"/>
      <c r="L868" s="2"/>
    </row>
    <row r="869" spans="9:12" ht="15.75" customHeight="1" x14ac:dyDescent="0.25">
      <c r="I869" s="2"/>
      <c r="J869" s="2"/>
      <c r="K869" s="2"/>
      <c r="L869" s="2"/>
    </row>
    <row r="870" spans="9:12" ht="15.75" customHeight="1" x14ac:dyDescent="0.25">
      <c r="I870" s="2"/>
      <c r="J870" s="2"/>
      <c r="K870" s="2"/>
      <c r="L870" s="2"/>
    </row>
    <row r="871" spans="9:12" ht="15.75" customHeight="1" x14ac:dyDescent="0.25">
      <c r="I871" s="2"/>
      <c r="J871" s="2"/>
      <c r="K871" s="2"/>
      <c r="L871" s="2"/>
    </row>
    <row r="872" spans="9:12" ht="15.75" customHeight="1" x14ac:dyDescent="0.25">
      <c r="I872" s="2"/>
      <c r="J872" s="2"/>
      <c r="K872" s="2"/>
      <c r="L872" s="2"/>
    </row>
    <row r="873" spans="9:12" ht="15.75" customHeight="1" x14ac:dyDescent="0.25">
      <c r="I873" s="2"/>
      <c r="J873" s="2"/>
      <c r="K873" s="2"/>
      <c r="L873" s="2"/>
    </row>
    <row r="874" spans="9:12" ht="15.75" customHeight="1" x14ac:dyDescent="0.25">
      <c r="I874" s="2"/>
      <c r="J874" s="2"/>
      <c r="K874" s="2"/>
      <c r="L874" s="2"/>
    </row>
    <row r="875" spans="9:12" ht="15.75" customHeight="1" x14ac:dyDescent="0.25">
      <c r="I875" s="2"/>
      <c r="J875" s="2"/>
      <c r="K875" s="2"/>
      <c r="L875" s="2"/>
    </row>
    <row r="876" spans="9:12" ht="15.75" customHeight="1" x14ac:dyDescent="0.25">
      <c r="I876" s="2"/>
      <c r="J876" s="2"/>
      <c r="K876" s="2"/>
      <c r="L876" s="2"/>
    </row>
    <row r="877" spans="9:12" ht="15.75" customHeight="1" x14ac:dyDescent="0.25">
      <c r="I877" s="2"/>
      <c r="J877" s="2"/>
      <c r="K877" s="2"/>
      <c r="L877" s="2"/>
    </row>
    <row r="878" spans="9:12" ht="15.75" customHeight="1" x14ac:dyDescent="0.25">
      <c r="I878" s="2"/>
      <c r="J878" s="2"/>
      <c r="K878" s="2"/>
      <c r="L878" s="2"/>
    </row>
    <row r="879" spans="9:12" ht="15.75" customHeight="1" x14ac:dyDescent="0.25">
      <c r="I879" s="2"/>
      <c r="J879" s="2"/>
      <c r="K879" s="2"/>
      <c r="L879" s="2"/>
    </row>
    <row r="880" spans="9:12" ht="15.75" customHeight="1" x14ac:dyDescent="0.25">
      <c r="I880" s="2"/>
      <c r="J880" s="2"/>
      <c r="K880" s="2"/>
      <c r="L880" s="2"/>
    </row>
    <row r="881" spans="9:12" ht="15.75" customHeight="1" x14ac:dyDescent="0.25">
      <c r="I881" s="2"/>
      <c r="J881" s="2"/>
      <c r="K881" s="2"/>
      <c r="L881" s="2"/>
    </row>
    <row r="882" spans="9:12" ht="15.75" customHeight="1" x14ac:dyDescent="0.25">
      <c r="I882" s="2"/>
      <c r="J882" s="2"/>
      <c r="K882" s="2"/>
      <c r="L882" s="2"/>
    </row>
    <row r="883" spans="9:12" ht="15.75" customHeight="1" x14ac:dyDescent="0.25">
      <c r="I883" s="2"/>
      <c r="J883" s="2"/>
      <c r="K883" s="2"/>
      <c r="L883" s="2"/>
    </row>
    <row r="884" spans="9:12" ht="15.75" customHeight="1" x14ac:dyDescent="0.25">
      <c r="I884" s="2"/>
      <c r="J884" s="2"/>
      <c r="K884" s="2"/>
      <c r="L884" s="2"/>
    </row>
    <row r="885" spans="9:12" ht="15.75" customHeight="1" x14ac:dyDescent="0.25">
      <c r="I885" s="2"/>
      <c r="J885" s="2"/>
      <c r="K885" s="2"/>
      <c r="L885" s="2"/>
    </row>
    <row r="886" spans="9:12" ht="15.75" customHeight="1" x14ac:dyDescent="0.25">
      <c r="I886" s="2"/>
      <c r="J886" s="2"/>
      <c r="K886" s="2"/>
      <c r="L886" s="2"/>
    </row>
    <row r="887" spans="9:12" ht="15.75" customHeight="1" x14ac:dyDescent="0.25">
      <c r="I887" s="2"/>
      <c r="J887" s="2"/>
      <c r="K887" s="2"/>
      <c r="L887" s="2"/>
    </row>
    <row r="888" spans="9:12" ht="15.75" customHeight="1" x14ac:dyDescent="0.25">
      <c r="I888" s="2"/>
      <c r="J888" s="2"/>
      <c r="K888" s="2"/>
      <c r="L888" s="2"/>
    </row>
    <row r="889" spans="9:12" ht="15.75" customHeight="1" x14ac:dyDescent="0.25">
      <c r="I889" s="2"/>
      <c r="J889" s="2"/>
      <c r="K889" s="2"/>
      <c r="L889" s="2"/>
    </row>
    <row r="890" spans="9:12" ht="15.75" customHeight="1" x14ac:dyDescent="0.25">
      <c r="I890" s="2"/>
      <c r="J890" s="2"/>
      <c r="K890" s="2"/>
      <c r="L890" s="2"/>
    </row>
    <row r="891" spans="9:12" ht="15.75" customHeight="1" x14ac:dyDescent="0.25">
      <c r="I891" s="2"/>
      <c r="J891" s="2"/>
      <c r="K891" s="2"/>
      <c r="L891" s="2"/>
    </row>
    <row r="892" spans="9:12" ht="15.75" customHeight="1" x14ac:dyDescent="0.25">
      <c r="I892" s="2"/>
      <c r="J892" s="2"/>
      <c r="K892" s="2"/>
      <c r="L892" s="2"/>
    </row>
    <row r="893" spans="9:12" ht="15.75" customHeight="1" x14ac:dyDescent="0.25">
      <c r="I893" s="2"/>
      <c r="J893" s="2"/>
      <c r="K893" s="2"/>
      <c r="L893" s="2"/>
    </row>
    <row r="894" spans="9:12" ht="15.75" customHeight="1" x14ac:dyDescent="0.25">
      <c r="I894" s="2"/>
      <c r="J894" s="2"/>
      <c r="K894" s="2"/>
      <c r="L894" s="2"/>
    </row>
    <row r="895" spans="9:12" ht="15.75" customHeight="1" x14ac:dyDescent="0.25">
      <c r="I895" s="2"/>
      <c r="J895" s="2"/>
      <c r="K895" s="2"/>
      <c r="L895" s="2"/>
    </row>
    <row r="896" spans="9:12" ht="15.75" customHeight="1" x14ac:dyDescent="0.25">
      <c r="I896" s="2"/>
      <c r="J896" s="2"/>
      <c r="K896" s="2"/>
      <c r="L896" s="2"/>
    </row>
    <row r="897" spans="9:12" ht="15.75" customHeight="1" x14ac:dyDescent="0.25">
      <c r="I897" s="2"/>
      <c r="J897" s="2"/>
      <c r="K897" s="2"/>
      <c r="L897" s="2"/>
    </row>
    <row r="898" spans="9:12" ht="15.75" customHeight="1" x14ac:dyDescent="0.25">
      <c r="I898" s="2"/>
      <c r="J898" s="2"/>
      <c r="K898" s="2"/>
      <c r="L898" s="2"/>
    </row>
    <row r="899" spans="9:12" ht="15.75" customHeight="1" x14ac:dyDescent="0.25">
      <c r="I899" s="2"/>
      <c r="J899" s="2"/>
      <c r="K899" s="2"/>
      <c r="L899" s="2"/>
    </row>
    <row r="900" spans="9:12" ht="15.75" customHeight="1" x14ac:dyDescent="0.25">
      <c r="I900" s="2"/>
      <c r="J900" s="2"/>
      <c r="K900" s="2"/>
      <c r="L900" s="2"/>
    </row>
    <row r="901" spans="9:12" ht="15.75" customHeight="1" x14ac:dyDescent="0.25">
      <c r="I901" s="2"/>
      <c r="J901" s="2"/>
      <c r="K901" s="2"/>
      <c r="L901" s="2"/>
    </row>
    <row r="902" spans="9:12" ht="15.75" customHeight="1" x14ac:dyDescent="0.25">
      <c r="I902" s="2"/>
      <c r="J902" s="2"/>
      <c r="K902" s="2"/>
      <c r="L902" s="2"/>
    </row>
    <row r="903" spans="9:12" ht="15.75" customHeight="1" x14ac:dyDescent="0.25">
      <c r="I903" s="2"/>
      <c r="J903" s="2"/>
      <c r="K903" s="2"/>
      <c r="L903" s="2"/>
    </row>
    <row r="904" spans="9:12" ht="15.75" customHeight="1" x14ac:dyDescent="0.25">
      <c r="I904" s="2"/>
      <c r="J904" s="2"/>
      <c r="K904" s="2"/>
      <c r="L904" s="2"/>
    </row>
    <row r="905" spans="9:12" ht="15.75" customHeight="1" x14ac:dyDescent="0.25">
      <c r="I905" s="2"/>
      <c r="J905" s="2"/>
      <c r="K905" s="2"/>
      <c r="L905" s="2"/>
    </row>
    <row r="906" spans="9:12" ht="15.75" customHeight="1" x14ac:dyDescent="0.25">
      <c r="I906" s="2"/>
      <c r="J906" s="2"/>
      <c r="K906" s="2"/>
      <c r="L906" s="2"/>
    </row>
    <row r="907" spans="9:12" ht="15.75" customHeight="1" x14ac:dyDescent="0.25">
      <c r="I907" s="2"/>
      <c r="J907" s="2"/>
      <c r="K907" s="2"/>
      <c r="L907" s="2"/>
    </row>
    <row r="908" spans="9:12" ht="15.75" customHeight="1" x14ac:dyDescent="0.25">
      <c r="I908" s="2"/>
      <c r="J908" s="2"/>
      <c r="K908" s="2"/>
      <c r="L908" s="2"/>
    </row>
    <row r="909" spans="9:12" ht="15.75" customHeight="1" x14ac:dyDescent="0.25">
      <c r="I909" s="2"/>
      <c r="J909" s="2"/>
      <c r="K909" s="2"/>
      <c r="L909" s="2"/>
    </row>
    <row r="910" spans="9:12" ht="15.75" customHeight="1" x14ac:dyDescent="0.25">
      <c r="I910" s="2"/>
      <c r="J910" s="2"/>
      <c r="K910" s="2"/>
      <c r="L910" s="2"/>
    </row>
    <row r="911" spans="9:12" ht="15.75" customHeight="1" x14ac:dyDescent="0.25">
      <c r="I911" s="2"/>
      <c r="J911" s="2"/>
      <c r="K911" s="2"/>
      <c r="L911" s="2"/>
    </row>
    <row r="912" spans="9:12" ht="15.75" customHeight="1" x14ac:dyDescent="0.25">
      <c r="I912" s="2"/>
      <c r="J912" s="2"/>
      <c r="K912" s="2"/>
      <c r="L912" s="2"/>
    </row>
    <row r="913" spans="9:12" ht="15.75" customHeight="1" x14ac:dyDescent="0.25">
      <c r="I913" s="2"/>
      <c r="J913" s="2"/>
      <c r="K913" s="2"/>
      <c r="L913" s="2"/>
    </row>
    <row r="914" spans="9:12" ht="15.75" customHeight="1" x14ac:dyDescent="0.25">
      <c r="I914" s="2"/>
      <c r="J914" s="2"/>
      <c r="K914" s="2"/>
      <c r="L914" s="2"/>
    </row>
    <row r="915" spans="9:12" ht="15.75" customHeight="1" x14ac:dyDescent="0.25">
      <c r="I915" s="2"/>
      <c r="J915" s="2"/>
      <c r="K915" s="2"/>
      <c r="L915" s="2"/>
    </row>
    <row r="916" spans="9:12" ht="15.75" customHeight="1" x14ac:dyDescent="0.25">
      <c r="I916" s="2"/>
      <c r="J916" s="2"/>
      <c r="K916" s="2"/>
      <c r="L916" s="2"/>
    </row>
    <row r="917" spans="9:12" ht="15.75" customHeight="1" x14ac:dyDescent="0.25">
      <c r="I917" s="2"/>
      <c r="J917" s="2"/>
      <c r="K917" s="2"/>
      <c r="L917" s="2"/>
    </row>
    <row r="918" spans="9:12" ht="15.75" customHeight="1" x14ac:dyDescent="0.25">
      <c r="I918" s="2"/>
      <c r="J918" s="2"/>
      <c r="K918" s="2"/>
      <c r="L918" s="2"/>
    </row>
    <row r="919" spans="9:12" ht="15.75" customHeight="1" x14ac:dyDescent="0.25">
      <c r="I919" s="2"/>
      <c r="J919" s="2"/>
      <c r="K919" s="2"/>
      <c r="L919" s="2"/>
    </row>
    <row r="920" spans="9:12" ht="15.75" customHeight="1" x14ac:dyDescent="0.25">
      <c r="I920" s="2"/>
      <c r="J920" s="2"/>
      <c r="K920" s="2"/>
      <c r="L920" s="2"/>
    </row>
    <row r="921" spans="9:12" ht="15.75" customHeight="1" x14ac:dyDescent="0.25">
      <c r="I921" s="2"/>
      <c r="J921" s="2"/>
      <c r="K921" s="2"/>
      <c r="L921" s="2"/>
    </row>
    <row r="922" spans="9:12" ht="15.75" customHeight="1" x14ac:dyDescent="0.25">
      <c r="I922" s="2"/>
      <c r="J922" s="2"/>
      <c r="K922" s="2"/>
      <c r="L922" s="2"/>
    </row>
    <row r="923" spans="9:12" ht="15.75" customHeight="1" x14ac:dyDescent="0.25">
      <c r="I923" s="2"/>
      <c r="J923" s="2"/>
      <c r="K923" s="2"/>
      <c r="L923" s="2"/>
    </row>
    <row r="924" spans="9:12" ht="15.75" customHeight="1" x14ac:dyDescent="0.25">
      <c r="I924" s="2"/>
      <c r="J924" s="2"/>
      <c r="K924" s="2"/>
      <c r="L924" s="2"/>
    </row>
    <row r="925" spans="9:12" ht="15.75" customHeight="1" x14ac:dyDescent="0.25">
      <c r="I925" s="2"/>
      <c r="J925" s="2"/>
      <c r="K925" s="2"/>
      <c r="L925" s="2"/>
    </row>
    <row r="926" spans="9:12" ht="15.75" customHeight="1" x14ac:dyDescent="0.25">
      <c r="I926" s="2"/>
      <c r="J926" s="2"/>
      <c r="K926" s="2"/>
      <c r="L926" s="2"/>
    </row>
    <row r="927" spans="9:12" ht="15.75" customHeight="1" x14ac:dyDescent="0.25">
      <c r="I927" s="2"/>
      <c r="J927" s="2"/>
      <c r="K927" s="2"/>
      <c r="L927" s="2"/>
    </row>
    <row r="928" spans="9:12" ht="15.75" customHeight="1" x14ac:dyDescent="0.25">
      <c r="I928" s="2"/>
      <c r="J928" s="2"/>
      <c r="K928" s="2"/>
      <c r="L928" s="2"/>
    </row>
    <row r="929" spans="9:12" ht="15.75" customHeight="1" x14ac:dyDescent="0.25">
      <c r="I929" s="2"/>
      <c r="J929" s="2"/>
      <c r="K929" s="2"/>
      <c r="L929" s="2"/>
    </row>
    <row r="930" spans="9:12" ht="15.75" customHeight="1" x14ac:dyDescent="0.25">
      <c r="I930" s="2"/>
      <c r="J930" s="2"/>
      <c r="K930" s="2"/>
      <c r="L930" s="2"/>
    </row>
    <row r="931" spans="9:12" ht="15.75" customHeight="1" x14ac:dyDescent="0.25">
      <c r="I931" s="2"/>
      <c r="J931" s="2"/>
      <c r="K931" s="2"/>
      <c r="L931" s="2"/>
    </row>
    <row r="932" spans="9:12" ht="15.75" customHeight="1" x14ac:dyDescent="0.25">
      <c r="I932" s="2"/>
      <c r="J932" s="2"/>
      <c r="K932" s="2"/>
      <c r="L932" s="2"/>
    </row>
    <row r="933" spans="9:12" ht="15.75" customHeight="1" x14ac:dyDescent="0.25">
      <c r="I933" s="2"/>
      <c r="J933" s="2"/>
      <c r="K933" s="2"/>
      <c r="L933" s="2"/>
    </row>
    <row r="934" spans="9:12" ht="15.75" customHeight="1" x14ac:dyDescent="0.25">
      <c r="I934" s="2"/>
      <c r="J934" s="2"/>
      <c r="K934" s="2"/>
      <c r="L934" s="2"/>
    </row>
    <row r="935" spans="9:12" ht="15.75" customHeight="1" x14ac:dyDescent="0.25">
      <c r="I935" s="2"/>
      <c r="J935" s="2"/>
      <c r="K935" s="2"/>
      <c r="L935" s="2"/>
    </row>
    <row r="936" spans="9:12" ht="15.75" customHeight="1" x14ac:dyDescent="0.25">
      <c r="I936" s="2"/>
      <c r="J936" s="2"/>
      <c r="K936" s="2"/>
      <c r="L936" s="2"/>
    </row>
    <row r="937" spans="9:12" ht="15.75" customHeight="1" x14ac:dyDescent="0.25">
      <c r="I937" s="2"/>
      <c r="J937" s="2"/>
      <c r="K937" s="2"/>
      <c r="L937" s="2"/>
    </row>
    <row r="938" spans="9:12" ht="15.75" customHeight="1" x14ac:dyDescent="0.25">
      <c r="I938" s="2"/>
      <c r="J938" s="2"/>
      <c r="K938" s="2"/>
      <c r="L938" s="2"/>
    </row>
    <row r="939" spans="9:12" ht="15.75" customHeight="1" x14ac:dyDescent="0.25">
      <c r="I939" s="2"/>
      <c r="J939" s="2"/>
      <c r="K939" s="2"/>
      <c r="L939" s="2"/>
    </row>
    <row r="940" spans="9:12" ht="15.75" customHeight="1" x14ac:dyDescent="0.25">
      <c r="I940" s="2"/>
      <c r="J940" s="2"/>
      <c r="K940" s="2"/>
      <c r="L940" s="2"/>
    </row>
    <row r="941" spans="9:12" ht="15.75" customHeight="1" x14ac:dyDescent="0.25">
      <c r="I941" s="2"/>
      <c r="J941" s="2"/>
      <c r="K941" s="2"/>
      <c r="L941" s="2"/>
    </row>
    <row r="942" spans="9:12" ht="15.75" customHeight="1" x14ac:dyDescent="0.25">
      <c r="I942" s="2"/>
      <c r="J942" s="2"/>
      <c r="K942" s="2"/>
      <c r="L942" s="2"/>
    </row>
    <row r="943" spans="9:12" ht="15.75" customHeight="1" x14ac:dyDescent="0.25">
      <c r="I943" s="2"/>
      <c r="J943" s="2"/>
      <c r="K943" s="2"/>
      <c r="L943" s="2"/>
    </row>
    <row r="944" spans="9:12" ht="15.75" customHeight="1" x14ac:dyDescent="0.25">
      <c r="I944" s="2"/>
      <c r="J944" s="2"/>
      <c r="K944" s="2"/>
      <c r="L944" s="2"/>
    </row>
    <row r="945" spans="9:12" ht="15.75" customHeight="1" x14ac:dyDescent="0.25">
      <c r="I945" s="2"/>
      <c r="J945" s="2"/>
      <c r="K945" s="2"/>
      <c r="L945" s="2"/>
    </row>
    <row r="946" spans="9:12" ht="15.75" customHeight="1" x14ac:dyDescent="0.25">
      <c r="I946" s="2"/>
      <c r="J946" s="2"/>
      <c r="K946" s="2"/>
      <c r="L946" s="2"/>
    </row>
    <row r="947" spans="9:12" ht="15.75" customHeight="1" x14ac:dyDescent="0.25">
      <c r="I947" s="2"/>
      <c r="J947" s="2"/>
      <c r="K947" s="2"/>
      <c r="L947" s="2"/>
    </row>
    <row r="948" spans="9:12" ht="15.75" customHeight="1" x14ac:dyDescent="0.25">
      <c r="I948" s="2"/>
      <c r="J948" s="2"/>
      <c r="K948" s="2"/>
      <c r="L948" s="2"/>
    </row>
    <row r="949" spans="9:12" ht="15.75" customHeight="1" x14ac:dyDescent="0.25">
      <c r="I949" s="2"/>
      <c r="J949" s="2"/>
      <c r="K949" s="2"/>
      <c r="L949" s="2"/>
    </row>
    <row r="950" spans="9:12" ht="15.75" customHeight="1" x14ac:dyDescent="0.25">
      <c r="I950" s="2"/>
      <c r="J950" s="2"/>
      <c r="K950" s="2"/>
      <c r="L950" s="2"/>
    </row>
    <row r="951" spans="9:12" ht="15.75" customHeight="1" x14ac:dyDescent="0.25">
      <c r="I951" s="2"/>
      <c r="J951" s="2"/>
      <c r="K951" s="2"/>
      <c r="L951" s="2"/>
    </row>
    <row r="952" spans="9:12" ht="15.75" customHeight="1" x14ac:dyDescent="0.25">
      <c r="I952" s="2"/>
      <c r="J952" s="2"/>
      <c r="K952" s="2"/>
      <c r="L952" s="2"/>
    </row>
    <row r="953" spans="9:12" ht="15.75" customHeight="1" x14ac:dyDescent="0.25">
      <c r="I953" s="2"/>
      <c r="J953" s="2"/>
      <c r="K953" s="2"/>
      <c r="L953" s="2"/>
    </row>
    <row r="954" spans="9:12" ht="15.75" customHeight="1" x14ac:dyDescent="0.25">
      <c r="I954" s="2"/>
      <c r="J954" s="2"/>
      <c r="K954" s="2"/>
      <c r="L954" s="2"/>
    </row>
    <row r="955" spans="9:12" ht="15.75" customHeight="1" x14ac:dyDescent="0.25">
      <c r="I955" s="2"/>
      <c r="J955" s="2"/>
      <c r="K955" s="2"/>
      <c r="L955" s="2"/>
    </row>
    <row r="956" spans="9:12" ht="15.75" customHeight="1" x14ac:dyDescent="0.25">
      <c r="I956" s="2"/>
      <c r="J956" s="2"/>
      <c r="K956" s="2"/>
      <c r="L956" s="2"/>
    </row>
    <row r="957" spans="9:12" ht="15.75" customHeight="1" x14ac:dyDescent="0.25">
      <c r="I957" s="2"/>
      <c r="J957" s="2"/>
      <c r="K957" s="2"/>
      <c r="L957" s="2"/>
    </row>
    <row r="958" spans="9:12" ht="15.75" customHeight="1" x14ac:dyDescent="0.25">
      <c r="I958" s="2"/>
      <c r="J958" s="2"/>
      <c r="K958" s="2"/>
      <c r="L958" s="2"/>
    </row>
    <row r="959" spans="9:12" ht="15.75" customHeight="1" x14ac:dyDescent="0.25">
      <c r="I959" s="2"/>
      <c r="J959" s="2"/>
      <c r="K959" s="2"/>
      <c r="L959" s="2"/>
    </row>
    <row r="960" spans="9:12" ht="15.75" customHeight="1" x14ac:dyDescent="0.25">
      <c r="I960" s="2"/>
      <c r="J960" s="2"/>
      <c r="K960" s="2"/>
      <c r="L960" s="2"/>
    </row>
    <row r="961" spans="9:12" ht="15.75" customHeight="1" x14ac:dyDescent="0.25">
      <c r="I961" s="2"/>
      <c r="J961" s="2"/>
      <c r="K961" s="2"/>
      <c r="L961" s="2"/>
    </row>
    <row r="962" spans="9:12" ht="15.75" customHeight="1" x14ac:dyDescent="0.25">
      <c r="I962" s="2"/>
      <c r="J962" s="2"/>
      <c r="K962" s="2"/>
      <c r="L962" s="2"/>
    </row>
    <row r="963" spans="9:12" ht="15.75" customHeight="1" x14ac:dyDescent="0.25">
      <c r="I963" s="2"/>
      <c r="J963" s="2"/>
      <c r="K963" s="2"/>
      <c r="L963" s="2"/>
    </row>
    <row r="964" spans="9:12" ht="15.75" customHeight="1" x14ac:dyDescent="0.25">
      <c r="I964" s="2"/>
      <c r="J964" s="2"/>
      <c r="K964" s="2"/>
      <c r="L964" s="2"/>
    </row>
    <row r="965" spans="9:12" ht="15.75" customHeight="1" x14ac:dyDescent="0.25">
      <c r="I965" s="2"/>
      <c r="J965" s="2"/>
      <c r="K965" s="2"/>
      <c r="L965" s="2"/>
    </row>
    <row r="966" spans="9:12" ht="15.75" customHeight="1" x14ac:dyDescent="0.25">
      <c r="I966" s="2"/>
      <c r="J966" s="2"/>
      <c r="K966" s="2"/>
      <c r="L966" s="2"/>
    </row>
    <row r="967" spans="9:12" ht="15.75" customHeight="1" x14ac:dyDescent="0.25">
      <c r="I967" s="2"/>
      <c r="J967" s="2"/>
      <c r="K967" s="2"/>
      <c r="L967" s="2"/>
    </row>
    <row r="968" spans="9:12" ht="15.75" customHeight="1" x14ac:dyDescent="0.25">
      <c r="I968" s="2"/>
      <c r="J968" s="2"/>
      <c r="K968" s="2"/>
      <c r="L968" s="2"/>
    </row>
    <row r="969" spans="9:12" ht="15.75" customHeight="1" x14ac:dyDescent="0.25">
      <c r="I969" s="2"/>
      <c r="J969" s="2"/>
      <c r="K969" s="2"/>
      <c r="L969" s="2"/>
    </row>
    <row r="970" spans="9:12" ht="15.75" customHeight="1" x14ac:dyDescent="0.25">
      <c r="I970" s="2"/>
      <c r="J970" s="2"/>
      <c r="K970" s="2"/>
      <c r="L970" s="2"/>
    </row>
    <row r="971" spans="9:12" ht="15.75" customHeight="1" x14ac:dyDescent="0.25">
      <c r="I971" s="2"/>
      <c r="J971" s="2"/>
      <c r="K971" s="2"/>
      <c r="L971" s="2"/>
    </row>
    <row r="972" spans="9:12" ht="15.75" customHeight="1" x14ac:dyDescent="0.25">
      <c r="I972" s="2"/>
      <c r="J972" s="2"/>
      <c r="K972" s="2"/>
      <c r="L972" s="2"/>
    </row>
    <row r="973" spans="9:12" ht="15.75" customHeight="1" x14ac:dyDescent="0.25">
      <c r="I973" s="2"/>
      <c r="J973" s="2"/>
      <c r="K973" s="2"/>
      <c r="L973" s="2"/>
    </row>
    <row r="974" spans="9:12" ht="15.75" customHeight="1" x14ac:dyDescent="0.25">
      <c r="I974" s="2"/>
      <c r="J974" s="2"/>
      <c r="K974" s="2"/>
      <c r="L974" s="2"/>
    </row>
    <row r="975" spans="9:12" ht="15.75" customHeight="1" x14ac:dyDescent="0.25">
      <c r="I975" s="2"/>
      <c r="J975" s="2"/>
      <c r="K975" s="2"/>
      <c r="L975" s="2"/>
    </row>
    <row r="976" spans="9:12" ht="15.75" customHeight="1" x14ac:dyDescent="0.25">
      <c r="I976" s="2"/>
      <c r="J976" s="2"/>
      <c r="K976" s="2"/>
      <c r="L976" s="2"/>
    </row>
    <row r="977" spans="9:12" ht="15.75" customHeight="1" x14ac:dyDescent="0.25">
      <c r="I977" s="2"/>
      <c r="J977" s="2"/>
      <c r="K977" s="2"/>
      <c r="L977" s="2"/>
    </row>
    <row r="978" spans="9:12" ht="15.75" customHeight="1" x14ac:dyDescent="0.25">
      <c r="I978" s="2"/>
      <c r="J978" s="2"/>
      <c r="K978" s="2"/>
      <c r="L978" s="2"/>
    </row>
    <row r="979" spans="9:12" ht="15.75" customHeight="1" x14ac:dyDescent="0.25">
      <c r="I979" s="2"/>
      <c r="J979" s="2"/>
      <c r="K979" s="2"/>
      <c r="L979" s="2"/>
    </row>
    <row r="980" spans="9:12" ht="15.75" customHeight="1" x14ac:dyDescent="0.25">
      <c r="I980" s="2"/>
      <c r="J980" s="2"/>
      <c r="K980" s="2"/>
      <c r="L980" s="2"/>
    </row>
    <row r="981" spans="9:12" ht="15.75" customHeight="1" x14ac:dyDescent="0.25">
      <c r="I981" s="2"/>
      <c r="J981" s="2"/>
      <c r="K981" s="2"/>
      <c r="L981" s="2"/>
    </row>
    <row r="982" spans="9:12" ht="15.75" customHeight="1" x14ac:dyDescent="0.25">
      <c r="I982" s="2"/>
      <c r="J982" s="2"/>
      <c r="K982" s="2"/>
      <c r="L982" s="2"/>
    </row>
    <row r="983" spans="9:12" ht="15.75" customHeight="1" x14ac:dyDescent="0.25">
      <c r="I983" s="2"/>
      <c r="J983" s="2"/>
      <c r="K983" s="2"/>
      <c r="L983" s="2"/>
    </row>
    <row r="984" spans="9:12" ht="15.75" customHeight="1" x14ac:dyDescent="0.25">
      <c r="I984" s="2"/>
      <c r="J984" s="2"/>
      <c r="K984" s="2"/>
      <c r="L984" s="2"/>
    </row>
    <row r="985" spans="9:12" ht="15.75" customHeight="1" x14ac:dyDescent="0.25">
      <c r="I985" s="2"/>
      <c r="J985" s="2"/>
      <c r="K985" s="2"/>
      <c r="L985" s="2"/>
    </row>
    <row r="986" spans="9:12" ht="15.75" customHeight="1" x14ac:dyDescent="0.25">
      <c r="I986" s="2"/>
      <c r="J986" s="2"/>
      <c r="K986" s="2"/>
      <c r="L986" s="2"/>
    </row>
    <row r="987" spans="9:12" ht="15.75" customHeight="1" x14ac:dyDescent="0.25">
      <c r="I987" s="2"/>
      <c r="J987" s="2"/>
      <c r="K987" s="2"/>
      <c r="L987" s="2"/>
    </row>
    <row r="988" spans="9:12" ht="15.75" customHeight="1" x14ac:dyDescent="0.25">
      <c r="I988" s="2"/>
      <c r="J988" s="2"/>
      <c r="K988" s="2"/>
      <c r="L988" s="2"/>
    </row>
    <row r="989" spans="9:12" ht="15.75" customHeight="1" x14ac:dyDescent="0.25">
      <c r="I989" s="2"/>
      <c r="J989" s="2"/>
      <c r="K989" s="2"/>
      <c r="L989" s="2"/>
    </row>
    <row r="990" spans="9:12" ht="15.75" customHeight="1" x14ac:dyDescent="0.25">
      <c r="I990" s="2"/>
      <c r="J990" s="2"/>
      <c r="K990" s="2"/>
      <c r="L990" s="2"/>
    </row>
    <row r="991" spans="9:12" ht="15.75" customHeight="1" x14ac:dyDescent="0.25">
      <c r="I991" s="2"/>
      <c r="J991" s="2"/>
      <c r="K991" s="2"/>
      <c r="L991" s="2"/>
    </row>
    <row r="992" spans="9:12" ht="15.75" customHeight="1" x14ac:dyDescent="0.25">
      <c r="I992" s="2"/>
      <c r="J992" s="2"/>
      <c r="K992" s="2"/>
      <c r="L992" s="2"/>
    </row>
    <row r="993" spans="9:12" ht="15.75" customHeight="1" x14ac:dyDescent="0.25">
      <c r="I993" s="2"/>
      <c r="J993" s="2"/>
      <c r="K993" s="2"/>
      <c r="L993" s="2"/>
    </row>
    <row r="994" spans="9:12" ht="15.75" customHeight="1" x14ac:dyDescent="0.25">
      <c r="I994" s="2"/>
      <c r="J994" s="2"/>
      <c r="K994" s="2"/>
      <c r="L994" s="2"/>
    </row>
    <row r="995" spans="9:12" ht="15.75" customHeight="1" x14ac:dyDescent="0.25">
      <c r="I995" s="2"/>
      <c r="J995" s="2"/>
      <c r="K995" s="2"/>
      <c r="L995" s="2"/>
    </row>
    <row r="996" spans="9:12" ht="15.75" customHeight="1" x14ac:dyDescent="0.25">
      <c r="I996" s="2"/>
      <c r="J996" s="2"/>
      <c r="K996" s="2"/>
      <c r="L996" s="2"/>
    </row>
    <row r="997" spans="9:12" ht="15.75" customHeight="1" x14ac:dyDescent="0.25">
      <c r="I997" s="2"/>
      <c r="J997" s="2"/>
      <c r="K997" s="2"/>
      <c r="L997" s="2"/>
    </row>
    <row r="998" spans="9:12" ht="15.75" customHeight="1" x14ac:dyDescent="0.25">
      <c r="I998" s="2"/>
      <c r="J998" s="2"/>
      <c r="K998" s="2"/>
      <c r="L998" s="2"/>
    </row>
    <row r="999" spans="9:12" ht="15.75" customHeight="1" x14ac:dyDescent="0.25">
      <c r="I999" s="2"/>
      <c r="J999" s="2"/>
      <c r="K999" s="2"/>
      <c r="L999" s="2"/>
    </row>
    <row r="1000" spans="9:12" ht="15.75" customHeight="1" x14ac:dyDescent="0.25">
      <c r="I1000" s="2"/>
      <c r="J1000" s="2"/>
      <c r="K1000" s="2"/>
      <c r="L1000" s="2"/>
    </row>
  </sheetData>
  <pageMargins left="0.7" right="0.7" top="0.75" bottom="0.75" header="0" footer="0"/>
  <pageSetup paperSize="5" scale="8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J3" workbookViewId="0">
      <selection activeCell="N9" sqref="N9:Q9"/>
    </sheetView>
  </sheetViews>
  <sheetFormatPr defaultColWidth="11.25" defaultRowHeight="15" customHeight="1" x14ac:dyDescent="0.25"/>
  <cols>
    <col min="1" max="1" width="8.625" customWidth="1"/>
    <col min="2" max="2" width="11.125" customWidth="1"/>
    <col min="3" max="3" width="44.625" customWidth="1"/>
    <col min="4" max="4" width="14.875" customWidth="1"/>
    <col min="5" max="5" width="9" hidden="1" customWidth="1"/>
    <col min="6" max="6" width="16.875" hidden="1" customWidth="1"/>
    <col min="7" max="7" width="14.5" customWidth="1"/>
    <col min="8" max="14" width="11.125" customWidth="1"/>
    <col min="15" max="15" width="14.25" hidden="1" customWidth="1"/>
    <col min="16" max="26" width="15.125" customWidth="1"/>
  </cols>
  <sheetData>
    <row r="1" spans="1:26" ht="15.75" customHeight="1" x14ac:dyDescent="0.25">
      <c r="A1" s="1" t="s">
        <v>88</v>
      </c>
      <c r="B1" s="2"/>
      <c r="C1" s="2"/>
      <c r="D1" s="2"/>
      <c r="M1" s="2"/>
    </row>
    <row r="2" spans="1:26" ht="15.75" customHeight="1" x14ac:dyDescent="0.25">
      <c r="A2" s="2"/>
      <c r="B2" s="2"/>
      <c r="C2" s="2"/>
      <c r="D2" s="2"/>
      <c r="H2" s="138"/>
      <c r="I2" s="138"/>
      <c r="J2" s="138"/>
      <c r="K2" s="138"/>
      <c r="L2" s="138"/>
      <c r="M2" s="138"/>
    </row>
    <row r="3" spans="1:26" ht="57" customHeight="1" x14ac:dyDescent="0.25">
      <c r="A3" s="169" t="s">
        <v>6</v>
      </c>
      <c r="B3" s="170" t="s">
        <v>91</v>
      </c>
      <c r="C3" s="170" t="s">
        <v>8</v>
      </c>
      <c r="D3" s="14" t="s">
        <v>64</v>
      </c>
      <c r="E3" s="171" t="s">
        <v>62</v>
      </c>
      <c r="F3" s="85" t="s">
        <v>93</v>
      </c>
      <c r="G3" s="172" t="s">
        <v>94</v>
      </c>
      <c r="H3" s="172" t="s">
        <v>95</v>
      </c>
      <c r="I3" s="172" t="s">
        <v>96</v>
      </c>
      <c r="J3" s="172" t="s">
        <v>97</v>
      </c>
      <c r="K3" s="172" t="s">
        <v>98</v>
      </c>
      <c r="L3" s="172" t="s">
        <v>99</v>
      </c>
      <c r="M3" s="172" t="s">
        <v>100</v>
      </c>
    </row>
    <row r="4" spans="1:26" ht="31.5" customHeight="1" x14ac:dyDescent="0.25">
      <c r="A4" s="345" t="s">
        <v>21</v>
      </c>
      <c r="B4" s="24">
        <v>2</v>
      </c>
      <c r="C4" s="39" t="s">
        <v>22</v>
      </c>
      <c r="D4" s="175">
        <f>'Base Allocation ROUNDED'!L4</f>
        <v>2575669.4447353105</v>
      </c>
      <c r="E4" s="177" t="e">
        <f t="shared" ref="E4:E13" si="0">D4/#REF!</f>
        <v>#REF!</v>
      </c>
      <c r="F4" s="179">
        <f>MROUND(D4*'FY18 Allocations'!H5,10000)</f>
        <v>2030000</v>
      </c>
      <c r="G4" s="153">
        <f>D4/10000*0.01</f>
        <v>2.5756694447353108</v>
      </c>
      <c r="H4" s="150">
        <v>2</v>
      </c>
      <c r="I4" s="150">
        <v>2</v>
      </c>
      <c r="J4" s="150">
        <v>1</v>
      </c>
      <c r="K4" s="150"/>
      <c r="L4" s="150"/>
      <c r="M4" s="150"/>
    </row>
    <row r="5" spans="1:26" ht="15.75" customHeight="1" x14ac:dyDescent="0.25">
      <c r="A5" s="342"/>
      <c r="B5" s="34">
        <v>14</v>
      </c>
      <c r="C5" s="33" t="s">
        <v>27</v>
      </c>
      <c r="D5" s="175">
        <f>'Base Allocation ROUNDED'!L5</f>
        <v>0</v>
      </c>
      <c r="E5" s="177" t="e">
        <f t="shared" si="0"/>
        <v>#REF!</v>
      </c>
      <c r="F5" s="179">
        <f t="shared" ref="F5:F6" si="1">D5</f>
        <v>0</v>
      </c>
      <c r="G5" s="153"/>
      <c r="H5" s="150"/>
      <c r="I5" s="150"/>
      <c r="J5" s="150"/>
      <c r="K5" s="150"/>
      <c r="L5" s="150"/>
      <c r="M5" s="150"/>
    </row>
    <row r="6" spans="1:26" ht="15.75" customHeight="1" x14ac:dyDescent="0.25">
      <c r="A6" s="342"/>
      <c r="B6" s="181" t="s">
        <v>104</v>
      </c>
      <c r="C6" s="99" t="s">
        <v>28</v>
      </c>
      <c r="D6" s="103">
        <f>'Base Allocation ROUNDED'!L6</f>
        <v>0</v>
      </c>
      <c r="E6" s="183" t="e">
        <f t="shared" si="0"/>
        <v>#REF!</v>
      </c>
      <c r="F6" s="103">
        <f t="shared" si="1"/>
        <v>0</v>
      </c>
      <c r="G6" s="187"/>
      <c r="H6" s="188"/>
      <c r="I6" s="188"/>
      <c r="J6" s="188"/>
      <c r="K6" s="188"/>
      <c r="L6" s="188"/>
      <c r="M6" s="188"/>
    </row>
    <row r="7" spans="1:26" ht="16.5" customHeight="1" x14ac:dyDescent="0.25">
      <c r="A7" s="342"/>
      <c r="B7" s="34">
        <v>17</v>
      </c>
      <c r="C7" s="39" t="s">
        <v>29</v>
      </c>
      <c r="D7" s="175">
        <f>'Base Allocation ROUNDED'!L7</f>
        <v>0</v>
      </c>
      <c r="E7" s="177" t="e">
        <f t="shared" si="0"/>
        <v>#REF!</v>
      </c>
      <c r="F7" s="179">
        <f>MROUND(D7*'FY18 Allocations'!H8,10000)</f>
        <v>0</v>
      </c>
      <c r="G7" s="153"/>
      <c r="H7" s="150"/>
      <c r="I7" s="150"/>
      <c r="J7" s="150"/>
      <c r="K7" s="150"/>
      <c r="L7" s="150"/>
      <c r="M7" s="150"/>
    </row>
    <row r="8" spans="1:26" ht="15.75" customHeight="1" x14ac:dyDescent="0.25">
      <c r="A8" s="342"/>
      <c r="B8" s="41">
        <v>1</v>
      </c>
      <c r="C8" s="39" t="s">
        <v>31</v>
      </c>
      <c r="D8" s="175">
        <f>'Base Allocation ROUNDED'!L8</f>
        <v>1624817.4963350773</v>
      </c>
      <c r="E8" s="177" t="e">
        <f t="shared" si="0"/>
        <v>#REF!</v>
      </c>
      <c r="F8" s="179">
        <f t="shared" ref="F8:F13" si="2">D8</f>
        <v>1624817.4963350773</v>
      </c>
      <c r="G8" s="153">
        <f t="shared" ref="G8:G10" si="3">D8/10000*0.01</f>
        <v>1.6248174963350774</v>
      </c>
      <c r="H8" s="150">
        <v>1</v>
      </c>
      <c r="I8" s="150">
        <v>2</v>
      </c>
      <c r="J8" s="150">
        <v>1</v>
      </c>
      <c r="K8" s="150"/>
      <c r="L8" s="150">
        <v>2</v>
      </c>
      <c r="M8" s="150"/>
      <c r="N8" s="2"/>
      <c r="O8" s="2"/>
      <c r="P8" s="2"/>
      <c r="Q8" s="2"/>
      <c r="R8" s="2"/>
      <c r="S8" s="2"/>
      <c r="T8" s="2"/>
      <c r="U8" s="2"/>
      <c r="V8" s="2"/>
      <c r="W8" s="2"/>
      <c r="X8" s="2"/>
      <c r="Y8" s="2"/>
      <c r="Z8" s="2"/>
    </row>
    <row r="9" spans="1:26" ht="15.75" customHeight="1" x14ac:dyDescent="0.25">
      <c r="A9" s="342"/>
      <c r="B9" s="34">
        <v>10</v>
      </c>
      <c r="C9" s="39" t="s">
        <v>32</v>
      </c>
      <c r="D9" s="175">
        <f>'Base Allocation ROUNDED'!L9</f>
        <v>6004.7341244909858</v>
      </c>
      <c r="E9" s="177" t="e">
        <f t="shared" si="0"/>
        <v>#REF!</v>
      </c>
      <c r="F9" s="179">
        <f t="shared" si="2"/>
        <v>6004.7341244909858</v>
      </c>
      <c r="G9" s="192">
        <f t="shared" si="3"/>
        <v>6.0047341244909855E-3</v>
      </c>
      <c r="H9" s="150"/>
      <c r="I9" s="150"/>
      <c r="J9" s="150"/>
      <c r="K9" s="150"/>
      <c r="L9" s="150"/>
      <c r="M9" s="150">
        <v>1</v>
      </c>
      <c r="N9" s="349" t="s">
        <v>105</v>
      </c>
      <c r="O9" s="338"/>
      <c r="P9" s="338"/>
      <c r="Q9" s="339"/>
      <c r="R9" s="194"/>
    </row>
    <row r="10" spans="1:26" ht="15.75" customHeight="1" x14ac:dyDescent="0.25">
      <c r="A10" s="342"/>
      <c r="B10" s="34">
        <v>16</v>
      </c>
      <c r="C10" s="39" t="s">
        <v>33</v>
      </c>
      <c r="D10" s="175">
        <f>'Base Allocation ROUNDED'!L10</f>
        <v>19911.576497963932</v>
      </c>
      <c r="E10" s="177" t="e">
        <f t="shared" si="0"/>
        <v>#REF!</v>
      </c>
      <c r="F10" s="179">
        <f t="shared" si="2"/>
        <v>19911.576497963932</v>
      </c>
      <c r="G10" s="153">
        <f t="shared" si="3"/>
        <v>1.9911576497963931E-2</v>
      </c>
      <c r="H10" s="150"/>
      <c r="I10" s="150"/>
      <c r="J10" s="150"/>
      <c r="K10" s="150"/>
      <c r="L10" s="150">
        <v>2</v>
      </c>
      <c r="M10" s="150"/>
    </row>
    <row r="11" spans="1:26" ht="15.75" customHeight="1" x14ac:dyDescent="0.25">
      <c r="A11" s="342"/>
      <c r="B11" s="34">
        <v>20</v>
      </c>
      <c r="C11" s="33" t="s">
        <v>38</v>
      </c>
      <c r="D11" s="175">
        <f>'Base Allocation ROUNDED'!L11</f>
        <v>0</v>
      </c>
      <c r="E11" s="177" t="e">
        <f t="shared" si="0"/>
        <v>#REF!</v>
      </c>
      <c r="F11" s="179">
        <f t="shared" si="2"/>
        <v>0</v>
      </c>
      <c r="G11" s="153"/>
      <c r="H11" s="150"/>
      <c r="I11" s="150"/>
      <c r="J11" s="150"/>
      <c r="K11" s="150"/>
      <c r="L11" s="150"/>
      <c r="M11" s="150"/>
    </row>
    <row r="12" spans="1:26" ht="15.75" customHeight="1" x14ac:dyDescent="0.25">
      <c r="A12" s="342"/>
      <c r="B12" s="34">
        <v>8</v>
      </c>
      <c r="C12" s="33" t="s">
        <v>35</v>
      </c>
      <c r="D12" s="175">
        <f>'Base Allocation ROUNDED'!L12</f>
        <v>199115.76497963932</v>
      </c>
      <c r="E12" s="177" t="e">
        <f t="shared" si="0"/>
        <v>#REF!</v>
      </c>
      <c r="F12" s="179">
        <f t="shared" si="2"/>
        <v>199115.76497963932</v>
      </c>
      <c r="G12" s="153">
        <f t="shared" ref="G12:G15" si="4">D12/10000*0.01</f>
        <v>0.19911576497963931</v>
      </c>
      <c r="H12" s="150"/>
      <c r="I12" s="150"/>
      <c r="J12" s="150"/>
      <c r="K12" s="150">
        <v>4</v>
      </c>
      <c r="L12" s="150"/>
      <c r="M12" s="150"/>
      <c r="N12" s="2"/>
      <c r="O12" s="2"/>
      <c r="P12" s="2"/>
      <c r="Q12" s="2"/>
      <c r="R12" s="2"/>
      <c r="S12" s="2"/>
      <c r="T12" s="2"/>
      <c r="U12" s="2"/>
      <c r="V12" s="2"/>
      <c r="W12" s="2"/>
      <c r="X12" s="2"/>
      <c r="Y12" s="2"/>
      <c r="Z12" s="2"/>
    </row>
    <row r="13" spans="1:26" ht="15.75" customHeight="1" x14ac:dyDescent="0.25">
      <c r="A13" s="342"/>
      <c r="B13" s="198">
        <v>12</v>
      </c>
      <c r="C13" s="39" t="s">
        <v>36</v>
      </c>
      <c r="D13" s="175">
        <f>'Base Allocation ROUNDED'!L13</f>
        <v>258850.49447353111</v>
      </c>
      <c r="E13" s="177" t="e">
        <f t="shared" si="0"/>
        <v>#REF!</v>
      </c>
      <c r="F13" s="179">
        <f t="shared" si="2"/>
        <v>258850.49447353111</v>
      </c>
      <c r="G13" s="153">
        <f t="shared" si="4"/>
        <v>0.25885049447353115</v>
      </c>
      <c r="H13" s="150"/>
      <c r="I13" s="150"/>
      <c r="J13" s="150">
        <v>2</v>
      </c>
      <c r="K13" s="150">
        <v>1</v>
      </c>
      <c r="L13" s="150">
        <v>1</v>
      </c>
      <c r="M13" s="150"/>
      <c r="N13" s="2"/>
      <c r="O13" s="2"/>
      <c r="P13" s="2"/>
      <c r="Q13" s="2"/>
      <c r="R13" s="2"/>
      <c r="S13" s="2"/>
      <c r="T13" s="2"/>
      <c r="U13" s="2"/>
      <c r="V13" s="2"/>
      <c r="W13" s="2"/>
      <c r="X13" s="2"/>
      <c r="Y13" s="2"/>
      <c r="Z13" s="2"/>
    </row>
    <row r="14" spans="1:26" ht="15.75" customHeight="1" x14ac:dyDescent="0.25">
      <c r="A14" s="346"/>
      <c r="B14" s="137">
        <v>4</v>
      </c>
      <c r="C14" s="58" t="s">
        <v>37</v>
      </c>
      <c r="D14" s="178">
        <f>'Base Allocation ROUNDED'!L14</f>
        <v>1981201.8615474114</v>
      </c>
      <c r="E14" s="141"/>
      <c r="F14" s="178"/>
      <c r="G14" s="199">
        <f t="shared" si="4"/>
        <v>1.9812018615474114</v>
      </c>
      <c r="H14" s="7">
        <v>1</v>
      </c>
      <c r="I14" s="7">
        <v>3</v>
      </c>
      <c r="J14" s="7">
        <v>2</v>
      </c>
      <c r="K14" s="7"/>
      <c r="L14" s="7">
        <v>4</v>
      </c>
      <c r="M14" s="7"/>
    </row>
    <row r="15" spans="1:26" ht="16.5" customHeight="1" x14ac:dyDescent="0.25">
      <c r="A15" s="347" t="s">
        <v>39</v>
      </c>
      <c r="B15" s="24">
        <v>11</v>
      </c>
      <c r="C15" s="69" t="s">
        <v>40</v>
      </c>
      <c r="D15" s="200">
        <f>'Base Allocation ROUNDED'!L15</f>
        <v>119469.4589877836</v>
      </c>
      <c r="E15" s="143"/>
      <c r="F15" s="143"/>
      <c r="G15" s="203">
        <f t="shared" si="4"/>
        <v>0.11946945898778361</v>
      </c>
      <c r="H15" s="143"/>
      <c r="I15" s="143"/>
      <c r="J15" s="143">
        <v>1</v>
      </c>
      <c r="K15" s="143"/>
      <c r="L15" s="143">
        <v>2</v>
      </c>
      <c r="M15" s="143"/>
      <c r="N15" s="2"/>
      <c r="O15" s="2"/>
      <c r="P15" s="2"/>
      <c r="Q15" s="2"/>
      <c r="R15" s="2"/>
      <c r="S15" s="2"/>
      <c r="T15" s="2"/>
      <c r="U15" s="2"/>
      <c r="V15" s="2"/>
      <c r="W15" s="2"/>
      <c r="X15" s="2"/>
      <c r="Y15" s="2"/>
      <c r="Z15" s="2"/>
    </row>
    <row r="16" spans="1:26" ht="15.75" customHeight="1" x14ac:dyDescent="0.25">
      <c r="A16" s="301"/>
      <c r="B16" s="24">
        <v>15</v>
      </c>
      <c r="C16" s="131" t="s">
        <v>41</v>
      </c>
      <c r="D16" s="200">
        <f>'Base Allocation ROUNDED'!L16</f>
        <v>0</v>
      </c>
      <c r="E16" s="92" t="e">
        <f t="shared" ref="E16:E25" si="5">D16/#REF!</f>
        <v>#REF!</v>
      </c>
      <c r="F16" s="93">
        <f t="shared" ref="F16:F25" si="6">D16</f>
        <v>0</v>
      </c>
      <c r="G16" s="153"/>
      <c r="H16" s="143"/>
      <c r="I16" s="143"/>
      <c r="J16" s="143"/>
      <c r="K16" s="143"/>
      <c r="L16" s="143"/>
      <c r="M16" s="143"/>
    </row>
    <row r="17" spans="1:16" ht="15.75" customHeight="1" x14ac:dyDescent="0.25">
      <c r="A17" s="301"/>
      <c r="B17" s="24">
        <v>5</v>
      </c>
      <c r="C17" s="39" t="s">
        <v>42</v>
      </c>
      <c r="D17" s="200">
        <f>'Base Allocation ROUNDED'!L17</f>
        <v>477877.83595113439</v>
      </c>
      <c r="E17" s="205" t="e">
        <f t="shared" si="5"/>
        <v>#REF!</v>
      </c>
      <c r="F17" s="93">
        <f t="shared" si="6"/>
        <v>477877.83595113439</v>
      </c>
      <c r="G17" s="153">
        <f t="shared" ref="G17:G19" si="7">D17/10000*0.01</f>
        <v>0.47787783595113442</v>
      </c>
      <c r="H17" s="150"/>
      <c r="I17" s="150"/>
      <c r="J17" s="150">
        <v>4</v>
      </c>
      <c r="K17" s="150">
        <v>1</v>
      </c>
      <c r="L17" s="150">
        <v>3</v>
      </c>
      <c r="M17" s="150"/>
    </row>
    <row r="18" spans="1:16" ht="15.75" customHeight="1" x14ac:dyDescent="0.25">
      <c r="A18" s="301"/>
      <c r="B18" s="24">
        <v>6</v>
      </c>
      <c r="C18" s="33" t="s">
        <v>43</v>
      </c>
      <c r="D18" s="200">
        <f>'Base Allocation ROUNDED'!L18</f>
        <v>348452.58871436882</v>
      </c>
      <c r="E18" s="205" t="e">
        <f t="shared" si="5"/>
        <v>#REF!</v>
      </c>
      <c r="F18" s="93">
        <f t="shared" si="6"/>
        <v>348452.58871436882</v>
      </c>
      <c r="G18" s="153">
        <f t="shared" si="7"/>
        <v>0.34845258871436885</v>
      </c>
      <c r="H18" s="150"/>
      <c r="I18" s="150"/>
      <c r="J18" s="150">
        <v>3</v>
      </c>
      <c r="K18" s="150">
        <v>1</v>
      </c>
      <c r="L18" s="150"/>
      <c r="M18" s="150"/>
    </row>
    <row r="19" spans="1:16" ht="15.75" customHeight="1" x14ac:dyDescent="0.25">
      <c r="A19" s="301"/>
      <c r="B19" s="24">
        <v>9</v>
      </c>
      <c r="C19" s="33" t="s">
        <v>44</v>
      </c>
      <c r="D19" s="200">
        <f>'Base Allocation ROUNDED'!L19</f>
        <v>99557.882489819662</v>
      </c>
      <c r="E19" s="205" t="e">
        <f t="shared" si="5"/>
        <v>#REF!</v>
      </c>
      <c r="F19" s="93">
        <f t="shared" si="6"/>
        <v>99557.882489819662</v>
      </c>
      <c r="G19" s="153">
        <f t="shared" si="7"/>
        <v>9.9557882489819657E-2</v>
      </c>
      <c r="H19" s="150"/>
      <c r="I19" s="150"/>
      <c r="J19" s="150"/>
      <c r="K19" s="150">
        <v>1</v>
      </c>
      <c r="L19" s="150">
        <v>4</v>
      </c>
      <c r="M19" s="150"/>
    </row>
    <row r="20" spans="1:16" ht="15.75" customHeight="1" x14ac:dyDescent="0.25">
      <c r="A20" s="301"/>
      <c r="B20" s="24">
        <v>18</v>
      </c>
      <c r="C20" s="33" t="s">
        <v>45</v>
      </c>
      <c r="D20" s="200">
        <f>'Base Allocation ROUNDED'!L20</f>
        <v>0</v>
      </c>
      <c r="E20" s="205" t="e">
        <f t="shared" si="5"/>
        <v>#REF!</v>
      </c>
      <c r="F20" s="93">
        <f t="shared" si="6"/>
        <v>0</v>
      </c>
      <c r="G20" s="153"/>
      <c r="H20" s="150"/>
      <c r="I20" s="150"/>
      <c r="J20" s="150"/>
      <c r="K20" s="150"/>
      <c r="L20" s="150"/>
      <c r="M20" s="150"/>
    </row>
    <row r="21" spans="1:16" ht="15.75" customHeight="1" x14ac:dyDescent="0.25">
      <c r="A21" s="301"/>
      <c r="B21" s="34">
        <v>3</v>
      </c>
      <c r="C21" s="33" t="s">
        <v>46</v>
      </c>
      <c r="D21" s="200">
        <f>'Base Allocation ROUNDED'!L21</f>
        <v>746684.11867364752</v>
      </c>
      <c r="E21" s="205" t="e">
        <f t="shared" si="5"/>
        <v>#REF!</v>
      </c>
      <c r="F21" s="93">
        <f t="shared" si="6"/>
        <v>746684.11867364752</v>
      </c>
      <c r="G21" s="153">
        <f t="shared" ref="G21:G23" si="8">D21/10000*0.01</f>
        <v>0.74668411867364759</v>
      </c>
      <c r="H21" s="150"/>
      <c r="I21" s="150">
        <v>2</v>
      </c>
      <c r="J21" s="150">
        <v>2</v>
      </c>
      <c r="K21" s="150"/>
      <c r="L21" s="150">
        <v>4</v>
      </c>
      <c r="M21" s="150"/>
    </row>
    <row r="22" spans="1:16" ht="15.75" customHeight="1" x14ac:dyDescent="0.25">
      <c r="A22" s="301"/>
      <c r="B22" s="34">
        <v>13</v>
      </c>
      <c r="C22" s="33" t="s">
        <v>47</v>
      </c>
      <c r="D22" s="200">
        <f>'Base Allocation ROUNDED'!L22</f>
        <v>29867.364746945899</v>
      </c>
      <c r="E22" s="205" t="e">
        <f t="shared" si="5"/>
        <v>#REF!</v>
      </c>
      <c r="F22" s="93">
        <f t="shared" si="6"/>
        <v>29867.364746945899</v>
      </c>
      <c r="G22" s="153">
        <f t="shared" si="8"/>
        <v>2.9867364746945901E-2</v>
      </c>
      <c r="H22" s="150"/>
      <c r="I22" s="150"/>
      <c r="J22" s="150"/>
      <c r="K22" s="150"/>
      <c r="L22" s="150">
        <v>3</v>
      </c>
      <c r="M22" s="150"/>
    </row>
    <row r="23" spans="1:16" ht="15.75" customHeight="1" x14ac:dyDescent="0.25">
      <c r="A23" s="301"/>
      <c r="B23" s="206">
        <v>7</v>
      </c>
      <c r="C23" s="33" t="s">
        <v>48</v>
      </c>
      <c r="D23" s="200">
        <f>'Base Allocation ROUNDED'!L23</f>
        <v>69519.37774287413</v>
      </c>
      <c r="E23" s="205" t="e">
        <f t="shared" si="5"/>
        <v>#REF!</v>
      </c>
      <c r="F23" s="93">
        <f t="shared" si="6"/>
        <v>69519.37774287413</v>
      </c>
      <c r="G23" s="153">
        <f t="shared" si="8"/>
        <v>6.9519377742874131E-2</v>
      </c>
      <c r="H23" s="150"/>
      <c r="I23" s="150"/>
      <c r="J23" s="150"/>
      <c r="K23" s="150">
        <v>1</v>
      </c>
      <c r="L23" s="150">
        <v>1</v>
      </c>
      <c r="M23" s="150"/>
    </row>
    <row r="24" spans="1:16" ht="15.75" customHeight="1" x14ac:dyDescent="0.25">
      <c r="A24" s="301"/>
      <c r="B24" s="137">
        <v>19</v>
      </c>
      <c r="C24" s="207" t="s">
        <v>49</v>
      </c>
      <c r="D24" s="200">
        <f>'Base Allocation ROUNDED'!L24</f>
        <v>0</v>
      </c>
      <c r="E24" s="208" t="e">
        <f t="shared" si="5"/>
        <v>#REF!</v>
      </c>
      <c r="F24" s="138">
        <f t="shared" si="6"/>
        <v>0</v>
      </c>
      <c r="G24" s="153"/>
      <c r="H24" s="150"/>
      <c r="I24" s="150"/>
      <c r="J24" s="150"/>
      <c r="K24" s="150"/>
      <c r="L24" s="150"/>
      <c r="M24" s="150"/>
    </row>
    <row r="25" spans="1:16" ht="15.75" customHeight="1" x14ac:dyDescent="0.25">
      <c r="A25" s="211"/>
      <c r="B25" s="139"/>
      <c r="C25" s="212" t="s">
        <v>107</v>
      </c>
      <c r="D25" s="178">
        <f>'Base Allocation ROUNDED'!L27</f>
        <v>8556999.9999999963</v>
      </c>
      <c r="E25" s="214" t="e">
        <f t="shared" si="5"/>
        <v>#REF!</v>
      </c>
      <c r="F25" s="215">
        <f t="shared" si="6"/>
        <v>8556999.9999999963</v>
      </c>
      <c r="G25" s="217">
        <f t="shared" ref="G25:M25" si="9">SUM(G4:G24)</f>
        <v>8.5570000000000004</v>
      </c>
      <c r="H25" s="72">
        <f t="shared" si="9"/>
        <v>4</v>
      </c>
      <c r="I25" s="72">
        <f t="shared" si="9"/>
        <v>9</v>
      </c>
      <c r="J25" s="72">
        <f t="shared" si="9"/>
        <v>16</v>
      </c>
      <c r="K25" s="72">
        <f t="shared" si="9"/>
        <v>9</v>
      </c>
      <c r="L25" s="72">
        <f t="shared" si="9"/>
        <v>26</v>
      </c>
      <c r="M25" s="72">
        <f t="shared" si="9"/>
        <v>1</v>
      </c>
    </row>
    <row r="26" spans="1:16" ht="15.75" customHeight="1" x14ac:dyDescent="0.25">
      <c r="A26" s="2"/>
      <c r="B26" s="2"/>
      <c r="C26" s="2"/>
      <c r="D26" s="138"/>
      <c r="E26" s="165"/>
      <c r="F26" s="165"/>
      <c r="G26" s="138"/>
      <c r="H26" s="219">
        <f>H25*1</f>
        <v>4</v>
      </c>
      <c r="I26" s="219">
        <f>I25*0.25</f>
        <v>2.25</v>
      </c>
      <c r="J26" s="219">
        <f>J25*0.1</f>
        <v>1.6</v>
      </c>
      <c r="K26" s="219">
        <f>K25*0.05</f>
        <v>0.45</v>
      </c>
      <c r="L26" s="219">
        <f>L25*0.01</f>
        <v>0.26</v>
      </c>
      <c r="M26" s="219">
        <f>M25*0.0005</f>
        <v>5.0000000000000001E-4</v>
      </c>
      <c r="N26" s="219">
        <f>SUM(H26:M26)</f>
        <v>8.5604999999999993</v>
      </c>
      <c r="P26" s="222">
        <f>G25-N26</f>
        <v>-3.4999999999989484E-3</v>
      </c>
    </row>
    <row r="27" spans="1:16" ht="30" customHeight="1" x14ac:dyDescent="0.25">
      <c r="A27" s="348" t="s">
        <v>112</v>
      </c>
      <c r="B27" s="339"/>
      <c r="C27" s="223" t="s">
        <v>110</v>
      </c>
      <c r="D27" s="80">
        <f>MROUND('FY18 Allocations'!E40,10000)</f>
        <v>8150000</v>
      </c>
      <c r="E27" s="224"/>
      <c r="F27" s="224"/>
      <c r="G27" s="36">
        <f>D27/10000*0.01</f>
        <v>8.15</v>
      </c>
      <c r="M27" s="2"/>
      <c r="O27" s="225">
        <f t="shared" ref="O27:O33" si="10">(H27*1000000)+(I27*250000)+(J27*100000)+(K27*50000)+(L27*10000)</f>
        <v>0</v>
      </c>
    </row>
    <row r="28" spans="1:16" ht="15.75" customHeight="1" x14ac:dyDescent="0.25">
      <c r="A28" s="2"/>
      <c r="B28" s="2"/>
      <c r="C28" s="2"/>
      <c r="D28" s="2"/>
      <c r="M28" s="2"/>
      <c r="O28" s="225">
        <f t="shared" si="10"/>
        <v>0</v>
      </c>
    </row>
    <row r="29" spans="1:16" ht="15.75" customHeight="1" x14ac:dyDescent="0.25">
      <c r="A29" s="2"/>
      <c r="B29" s="2"/>
      <c r="C29" s="79" t="s">
        <v>111</v>
      </c>
      <c r="D29" s="80">
        <f>D25-D27</f>
        <v>406999.99999999627</v>
      </c>
      <c r="E29" s="80"/>
      <c r="F29" s="80"/>
      <c r="G29" s="226">
        <f>D29/10000*0.01</f>
        <v>0.40699999999999625</v>
      </c>
      <c r="I29" s="227" t="s">
        <v>113</v>
      </c>
      <c r="J29" s="228"/>
      <c r="K29" s="228"/>
      <c r="L29" s="228"/>
      <c r="M29" s="2"/>
      <c r="O29" s="225" t="e">
        <f t="shared" si="10"/>
        <v>#VALUE!</v>
      </c>
    </row>
    <row r="30" spans="1:16" ht="15.75" customHeight="1" x14ac:dyDescent="0.25">
      <c r="B30" s="2"/>
      <c r="C30" s="2"/>
      <c r="D30" s="2"/>
      <c r="M30" s="2"/>
      <c r="O30" s="225">
        <f t="shared" si="10"/>
        <v>0</v>
      </c>
    </row>
    <row r="31" spans="1:16" ht="15.75" customHeight="1" x14ac:dyDescent="0.25">
      <c r="B31" s="2"/>
      <c r="C31" s="229" t="s">
        <v>114</v>
      </c>
      <c r="D31" s="230">
        <f>MROUND(D27*1.05,10000)</f>
        <v>8560000</v>
      </c>
      <c r="E31" s="230">
        <f t="shared" ref="E31:F31" si="11">E27*1.05</f>
        <v>0</v>
      </c>
      <c r="F31" s="230">
        <f t="shared" si="11"/>
        <v>0</v>
      </c>
      <c r="G31" s="231">
        <f>D31/10000*0.01</f>
        <v>8.56</v>
      </c>
      <c r="M31" s="2"/>
      <c r="O31" s="225">
        <f t="shared" si="10"/>
        <v>0</v>
      </c>
    </row>
    <row r="32" spans="1:16" ht="15.75" customHeight="1" x14ac:dyDescent="0.25">
      <c r="B32" s="2"/>
      <c r="C32" s="229"/>
      <c r="D32" s="229"/>
      <c r="E32" s="229"/>
      <c r="F32" s="229"/>
      <c r="G32" s="229"/>
      <c r="M32" s="2"/>
      <c r="O32" s="225">
        <f t="shared" si="10"/>
        <v>0</v>
      </c>
    </row>
    <row r="33" spans="3:15" ht="15.75" customHeight="1" x14ac:dyDescent="0.25">
      <c r="C33" s="229" t="s">
        <v>115</v>
      </c>
      <c r="D33" s="232">
        <f>D25-D31</f>
        <v>-3000.0000000037253</v>
      </c>
      <c r="E33" s="229"/>
      <c r="F33" s="229"/>
      <c r="G33" s="233">
        <f>D33/10000*0.01</f>
        <v>-3.0000000000037254E-3</v>
      </c>
      <c r="M33" s="2"/>
      <c r="O33" s="225">
        <f t="shared" si="10"/>
        <v>0</v>
      </c>
    </row>
    <row r="34" spans="3:15" ht="15.75" customHeight="1" x14ac:dyDescent="0.25">
      <c r="M34" s="2"/>
    </row>
    <row r="35" spans="3:15" ht="15.75" customHeight="1" x14ac:dyDescent="0.25">
      <c r="M35" s="2"/>
    </row>
    <row r="36" spans="3:15" ht="15.75" customHeight="1" x14ac:dyDescent="0.25">
      <c r="M36" s="2"/>
    </row>
    <row r="37" spans="3:15" ht="15.75" customHeight="1" x14ac:dyDescent="0.25">
      <c r="M37" s="2"/>
    </row>
    <row r="38" spans="3:15" ht="15.75" customHeight="1" x14ac:dyDescent="0.25">
      <c r="M38" s="2"/>
    </row>
    <row r="39" spans="3:15" ht="15.75" customHeight="1" x14ac:dyDescent="0.25">
      <c r="M39" s="2"/>
    </row>
    <row r="40" spans="3:15" ht="15.75" customHeight="1" x14ac:dyDescent="0.25">
      <c r="M40" s="2"/>
    </row>
    <row r="41" spans="3:15" ht="15.75" customHeight="1" x14ac:dyDescent="0.25">
      <c r="M41" s="2"/>
    </row>
    <row r="42" spans="3:15" ht="15.75" customHeight="1" x14ac:dyDescent="0.25">
      <c r="M42" s="2"/>
    </row>
    <row r="43" spans="3:15" ht="15.75" customHeight="1" x14ac:dyDescent="0.25">
      <c r="M43" s="2"/>
    </row>
    <row r="44" spans="3:15" ht="15.75" customHeight="1" x14ac:dyDescent="0.25">
      <c r="M44" s="2"/>
    </row>
    <row r="45" spans="3:15" ht="15.75" customHeight="1" x14ac:dyDescent="0.25">
      <c r="M45" s="2"/>
    </row>
    <row r="46" spans="3:15" ht="15.75" customHeight="1" x14ac:dyDescent="0.25">
      <c r="M46" s="2"/>
    </row>
    <row r="47" spans="3:15" ht="15.75" customHeight="1" x14ac:dyDescent="0.25">
      <c r="M47" s="2"/>
    </row>
    <row r="48" spans="3:15" ht="15.75" customHeight="1" x14ac:dyDescent="0.25">
      <c r="M48" s="2"/>
    </row>
    <row r="49" spans="13:13" ht="15.75" customHeight="1" x14ac:dyDescent="0.25">
      <c r="M49" s="2"/>
    </row>
    <row r="50" spans="13:13" ht="15.75" customHeight="1" x14ac:dyDescent="0.25">
      <c r="M50" s="2"/>
    </row>
    <row r="51" spans="13:13" ht="15.75" customHeight="1" x14ac:dyDescent="0.25">
      <c r="M51" s="2"/>
    </row>
    <row r="52" spans="13:13" ht="15.75" customHeight="1" x14ac:dyDescent="0.25">
      <c r="M52" s="2"/>
    </row>
    <row r="53" spans="13:13" ht="15.75" customHeight="1" x14ac:dyDescent="0.25">
      <c r="M53" s="2"/>
    </row>
    <row r="54" spans="13:13" ht="15.75" customHeight="1" x14ac:dyDescent="0.25">
      <c r="M54" s="2"/>
    </row>
    <row r="55" spans="13:13" ht="15.75" customHeight="1" x14ac:dyDescent="0.25">
      <c r="M55" s="2"/>
    </row>
    <row r="56" spans="13:13" ht="15.75" customHeight="1" x14ac:dyDescent="0.25">
      <c r="M56" s="2"/>
    </row>
    <row r="57" spans="13:13" ht="15.75" customHeight="1" x14ac:dyDescent="0.25">
      <c r="M57" s="2"/>
    </row>
    <row r="58" spans="13:13" ht="15.75" customHeight="1" x14ac:dyDescent="0.25">
      <c r="M58" s="2"/>
    </row>
    <row r="59" spans="13:13" ht="15.75" customHeight="1" x14ac:dyDescent="0.25">
      <c r="M59" s="2"/>
    </row>
    <row r="60" spans="13:13" ht="15.75" customHeight="1" x14ac:dyDescent="0.25">
      <c r="M60" s="2"/>
    </row>
    <row r="61" spans="13:13" ht="15.75" customHeight="1" x14ac:dyDescent="0.25">
      <c r="M61" s="2"/>
    </row>
    <row r="62" spans="13:13" ht="15.75" customHeight="1" x14ac:dyDescent="0.25">
      <c r="M62" s="2"/>
    </row>
    <row r="63" spans="13:13" ht="15.75" customHeight="1" x14ac:dyDescent="0.25">
      <c r="M63" s="2"/>
    </row>
    <row r="64" spans="13:13" ht="15.75" customHeight="1" x14ac:dyDescent="0.25">
      <c r="M64" s="2"/>
    </row>
    <row r="65" spans="13:13" ht="15.75" customHeight="1" x14ac:dyDescent="0.25">
      <c r="M65" s="2"/>
    </row>
    <row r="66" spans="13:13" ht="15.75" customHeight="1" x14ac:dyDescent="0.25">
      <c r="M66" s="2"/>
    </row>
    <row r="67" spans="13:13" ht="15.75" customHeight="1" x14ac:dyDescent="0.25">
      <c r="M67" s="2"/>
    </row>
    <row r="68" spans="13:13" ht="15.75" customHeight="1" x14ac:dyDescent="0.25">
      <c r="M68" s="2"/>
    </row>
    <row r="69" spans="13:13" ht="15.75" customHeight="1" x14ac:dyDescent="0.25">
      <c r="M69" s="2"/>
    </row>
    <row r="70" spans="13:13" ht="15.75" customHeight="1" x14ac:dyDescent="0.25">
      <c r="M70" s="2"/>
    </row>
    <row r="71" spans="13:13" ht="15.75" customHeight="1" x14ac:dyDescent="0.25">
      <c r="M71" s="2"/>
    </row>
    <row r="72" spans="13:13" ht="15.75" customHeight="1" x14ac:dyDescent="0.25">
      <c r="M72" s="2"/>
    </row>
    <row r="73" spans="13:13" ht="15.75" customHeight="1" x14ac:dyDescent="0.25">
      <c r="M73" s="2"/>
    </row>
    <row r="74" spans="13:13" ht="15.75" customHeight="1" x14ac:dyDescent="0.25">
      <c r="M74" s="2"/>
    </row>
    <row r="75" spans="13:13" ht="15.75" customHeight="1" x14ac:dyDescent="0.25">
      <c r="M75" s="2"/>
    </row>
    <row r="76" spans="13:13" ht="15.75" customHeight="1" x14ac:dyDescent="0.25">
      <c r="M76" s="2"/>
    </row>
    <row r="77" spans="13:13" ht="15.75" customHeight="1" x14ac:dyDescent="0.25">
      <c r="M77" s="2"/>
    </row>
    <row r="78" spans="13:13" ht="15.75" customHeight="1" x14ac:dyDescent="0.25">
      <c r="M78" s="2"/>
    </row>
    <row r="79" spans="13:13" ht="15.75" customHeight="1" x14ac:dyDescent="0.25">
      <c r="M79" s="2"/>
    </row>
    <row r="80" spans="13:13" ht="15.75" customHeight="1" x14ac:dyDescent="0.25">
      <c r="M80" s="2"/>
    </row>
    <row r="81" spans="13:13" ht="15.75" customHeight="1" x14ac:dyDescent="0.25">
      <c r="M81" s="2"/>
    </row>
    <row r="82" spans="13:13" ht="15.75" customHeight="1" x14ac:dyDescent="0.25">
      <c r="M82" s="2"/>
    </row>
    <row r="83" spans="13:13" ht="15.75" customHeight="1" x14ac:dyDescent="0.25">
      <c r="M83" s="2"/>
    </row>
    <row r="84" spans="13:13" ht="15.75" customHeight="1" x14ac:dyDescent="0.25">
      <c r="M84" s="2"/>
    </row>
    <row r="85" spans="13:13" ht="15.75" customHeight="1" x14ac:dyDescent="0.25">
      <c r="M85" s="2"/>
    </row>
    <row r="86" spans="13:13" ht="15.75" customHeight="1" x14ac:dyDescent="0.25">
      <c r="M86" s="2"/>
    </row>
    <row r="87" spans="13:13" ht="15.75" customHeight="1" x14ac:dyDescent="0.25">
      <c r="M87" s="2"/>
    </row>
    <row r="88" spans="13:13" ht="15.75" customHeight="1" x14ac:dyDescent="0.25">
      <c r="M88" s="2"/>
    </row>
    <row r="89" spans="13:13" ht="15.75" customHeight="1" x14ac:dyDescent="0.25">
      <c r="M89" s="2"/>
    </row>
    <row r="90" spans="13:13" ht="15.75" customHeight="1" x14ac:dyDescent="0.25">
      <c r="M90" s="2"/>
    </row>
    <row r="91" spans="13:13" ht="15.75" customHeight="1" x14ac:dyDescent="0.25">
      <c r="M91" s="2"/>
    </row>
    <row r="92" spans="13:13" ht="15.75" customHeight="1" x14ac:dyDescent="0.25">
      <c r="M92" s="2"/>
    </row>
    <row r="93" spans="13:13" ht="15.75" customHeight="1" x14ac:dyDescent="0.25">
      <c r="M93" s="2"/>
    </row>
    <row r="94" spans="13:13" ht="15.75" customHeight="1" x14ac:dyDescent="0.25">
      <c r="M94" s="2"/>
    </row>
    <row r="95" spans="13:13" ht="15.75" customHeight="1" x14ac:dyDescent="0.25">
      <c r="M95" s="2"/>
    </row>
    <row r="96" spans="13:13" ht="15.75" customHeight="1" x14ac:dyDescent="0.25">
      <c r="M96" s="2"/>
    </row>
    <row r="97" spans="13:13" ht="15.75" customHeight="1" x14ac:dyDescent="0.25">
      <c r="M97" s="2"/>
    </row>
    <row r="98" spans="13:13" ht="15.75" customHeight="1" x14ac:dyDescent="0.25">
      <c r="M98" s="2"/>
    </row>
    <row r="99" spans="13:13" ht="15.75" customHeight="1" x14ac:dyDescent="0.25">
      <c r="M99" s="2"/>
    </row>
    <row r="100" spans="13:13" ht="15.75" customHeight="1" x14ac:dyDescent="0.25">
      <c r="M100" s="2"/>
    </row>
    <row r="101" spans="13:13" ht="15.75" customHeight="1" x14ac:dyDescent="0.25">
      <c r="M101" s="2"/>
    </row>
    <row r="102" spans="13:13" ht="15.75" customHeight="1" x14ac:dyDescent="0.25">
      <c r="M102" s="2"/>
    </row>
    <row r="103" spans="13:13" ht="15.75" customHeight="1" x14ac:dyDescent="0.25">
      <c r="M103" s="2"/>
    </row>
    <row r="104" spans="13:13" ht="15.75" customHeight="1" x14ac:dyDescent="0.25">
      <c r="M104" s="2"/>
    </row>
    <row r="105" spans="13:13" ht="15.75" customHeight="1" x14ac:dyDescent="0.25">
      <c r="M105" s="2"/>
    </row>
    <row r="106" spans="13:13" ht="15.75" customHeight="1" x14ac:dyDescent="0.25">
      <c r="M106" s="2"/>
    </row>
    <row r="107" spans="13:13" ht="15.75" customHeight="1" x14ac:dyDescent="0.25">
      <c r="M107" s="2"/>
    </row>
    <row r="108" spans="13:13" ht="15.75" customHeight="1" x14ac:dyDescent="0.25">
      <c r="M108" s="2"/>
    </row>
    <row r="109" spans="13:13" ht="15.75" customHeight="1" x14ac:dyDescent="0.25">
      <c r="M109" s="2"/>
    </row>
    <row r="110" spans="13:13" ht="15.75" customHeight="1" x14ac:dyDescent="0.25">
      <c r="M110" s="2"/>
    </row>
    <row r="111" spans="13:13" ht="15.75" customHeight="1" x14ac:dyDescent="0.25">
      <c r="M111" s="2"/>
    </row>
    <row r="112" spans="13:13" ht="15.75" customHeight="1" x14ac:dyDescent="0.25">
      <c r="M112" s="2"/>
    </row>
    <row r="113" spans="13:13" ht="15.75" customHeight="1" x14ac:dyDescent="0.25">
      <c r="M113" s="2"/>
    </row>
    <row r="114" spans="13:13" ht="15.75" customHeight="1" x14ac:dyDescent="0.25">
      <c r="M114" s="2"/>
    </row>
    <row r="115" spans="13:13" ht="15.75" customHeight="1" x14ac:dyDescent="0.25">
      <c r="M115" s="2"/>
    </row>
    <row r="116" spans="13:13" ht="15.75" customHeight="1" x14ac:dyDescent="0.25">
      <c r="M116" s="2"/>
    </row>
    <row r="117" spans="13:13" ht="15.75" customHeight="1" x14ac:dyDescent="0.25">
      <c r="M117" s="2"/>
    </row>
    <row r="118" spans="13:13" ht="15.75" customHeight="1" x14ac:dyDescent="0.25">
      <c r="M118" s="2"/>
    </row>
    <row r="119" spans="13:13" ht="15.75" customHeight="1" x14ac:dyDescent="0.25">
      <c r="M119" s="2"/>
    </row>
    <row r="120" spans="13:13" ht="15.75" customHeight="1" x14ac:dyDescent="0.25">
      <c r="M120" s="2"/>
    </row>
    <row r="121" spans="13:13" ht="15.75" customHeight="1" x14ac:dyDescent="0.25">
      <c r="M121" s="2"/>
    </row>
    <row r="122" spans="13:13" ht="15.75" customHeight="1" x14ac:dyDescent="0.25">
      <c r="M122" s="2"/>
    </row>
    <row r="123" spans="13:13" ht="15.75" customHeight="1" x14ac:dyDescent="0.25">
      <c r="M123" s="2"/>
    </row>
    <row r="124" spans="13:13" ht="15.75" customHeight="1" x14ac:dyDescent="0.25">
      <c r="M124" s="2"/>
    </row>
    <row r="125" spans="13:13" ht="15.75" customHeight="1" x14ac:dyDescent="0.25">
      <c r="M125" s="2"/>
    </row>
    <row r="126" spans="13:13" ht="15.75" customHeight="1" x14ac:dyDescent="0.25">
      <c r="M126" s="2"/>
    </row>
    <row r="127" spans="13:13" ht="15.75" customHeight="1" x14ac:dyDescent="0.25">
      <c r="M127" s="2"/>
    </row>
    <row r="128" spans="13:13" ht="15.75" customHeight="1" x14ac:dyDescent="0.25">
      <c r="M128" s="2"/>
    </row>
    <row r="129" spans="13:13" ht="15.75" customHeight="1" x14ac:dyDescent="0.25">
      <c r="M129" s="2"/>
    </row>
    <row r="130" spans="13:13" ht="15.75" customHeight="1" x14ac:dyDescent="0.25">
      <c r="M130" s="2"/>
    </row>
    <row r="131" spans="13:13" ht="15.75" customHeight="1" x14ac:dyDescent="0.25">
      <c r="M131" s="2"/>
    </row>
    <row r="132" spans="13:13" ht="15.75" customHeight="1" x14ac:dyDescent="0.25">
      <c r="M132" s="2"/>
    </row>
    <row r="133" spans="13:13" ht="15.75" customHeight="1" x14ac:dyDescent="0.25">
      <c r="M133" s="2"/>
    </row>
    <row r="134" spans="13:13" ht="15.75" customHeight="1" x14ac:dyDescent="0.25">
      <c r="M134" s="2"/>
    </row>
    <row r="135" spans="13:13" ht="15.75" customHeight="1" x14ac:dyDescent="0.25">
      <c r="M135" s="2"/>
    </row>
    <row r="136" spans="13:13" ht="15.75" customHeight="1" x14ac:dyDescent="0.25">
      <c r="M136" s="2"/>
    </row>
    <row r="137" spans="13:13" ht="15.75" customHeight="1" x14ac:dyDescent="0.25">
      <c r="M137" s="2"/>
    </row>
    <row r="138" spans="13:13" ht="15.75" customHeight="1" x14ac:dyDescent="0.25">
      <c r="M138" s="2"/>
    </row>
    <row r="139" spans="13:13" ht="15.75" customHeight="1" x14ac:dyDescent="0.25">
      <c r="M139" s="2"/>
    </row>
    <row r="140" spans="13:13" ht="15.75" customHeight="1" x14ac:dyDescent="0.25">
      <c r="M140" s="2"/>
    </row>
    <row r="141" spans="13:13" ht="15.75" customHeight="1" x14ac:dyDescent="0.25">
      <c r="M141" s="2"/>
    </row>
    <row r="142" spans="13:13" ht="15.75" customHeight="1" x14ac:dyDescent="0.25">
      <c r="M142" s="2"/>
    </row>
    <row r="143" spans="13:13" ht="15.75" customHeight="1" x14ac:dyDescent="0.25">
      <c r="M143" s="2"/>
    </row>
    <row r="144" spans="13:13" ht="15.75" customHeight="1" x14ac:dyDescent="0.25">
      <c r="M144" s="2"/>
    </row>
    <row r="145" spans="13:13" ht="15.75" customHeight="1" x14ac:dyDescent="0.25">
      <c r="M145" s="2"/>
    </row>
    <row r="146" spans="13:13" ht="15.75" customHeight="1" x14ac:dyDescent="0.25">
      <c r="M146" s="2"/>
    </row>
    <row r="147" spans="13:13" ht="15.75" customHeight="1" x14ac:dyDescent="0.25">
      <c r="M147" s="2"/>
    </row>
    <row r="148" spans="13:13" ht="15.75" customHeight="1" x14ac:dyDescent="0.25">
      <c r="M148" s="2"/>
    </row>
    <row r="149" spans="13:13" ht="15.75" customHeight="1" x14ac:dyDescent="0.25">
      <c r="M149" s="2"/>
    </row>
    <row r="150" spans="13:13" ht="15.75" customHeight="1" x14ac:dyDescent="0.25">
      <c r="M150" s="2"/>
    </row>
    <row r="151" spans="13:13" ht="15.75" customHeight="1" x14ac:dyDescent="0.25">
      <c r="M151" s="2"/>
    </row>
    <row r="152" spans="13:13" ht="15.75" customHeight="1" x14ac:dyDescent="0.25">
      <c r="M152" s="2"/>
    </row>
    <row r="153" spans="13:13" ht="15.75" customHeight="1" x14ac:dyDescent="0.25">
      <c r="M153" s="2"/>
    </row>
    <row r="154" spans="13:13" ht="15.75" customHeight="1" x14ac:dyDescent="0.25">
      <c r="M154" s="2"/>
    </row>
    <row r="155" spans="13:13" ht="15.75" customHeight="1" x14ac:dyDescent="0.25">
      <c r="M155" s="2"/>
    </row>
    <row r="156" spans="13:13" ht="15.75" customHeight="1" x14ac:dyDescent="0.25">
      <c r="M156" s="2"/>
    </row>
    <row r="157" spans="13:13" ht="15.75" customHeight="1" x14ac:dyDescent="0.25">
      <c r="M157" s="2"/>
    </row>
    <row r="158" spans="13:13" ht="15.75" customHeight="1" x14ac:dyDescent="0.25">
      <c r="M158" s="2"/>
    </row>
    <row r="159" spans="13:13" ht="15.75" customHeight="1" x14ac:dyDescent="0.25">
      <c r="M159" s="2"/>
    </row>
    <row r="160" spans="13:13" ht="15.75" customHeight="1" x14ac:dyDescent="0.25">
      <c r="M160" s="2"/>
    </row>
    <row r="161" spans="13:13" ht="15.75" customHeight="1" x14ac:dyDescent="0.25">
      <c r="M161" s="2"/>
    </row>
    <row r="162" spans="13:13" ht="15.75" customHeight="1" x14ac:dyDescent="0.25">
      <c r="M162" s="2"/>
    </row>
    <row r="163" spans="13:13" ht="15.75" customHeight="1" x14ac:dyDescent="0.25">
      <c r="M163" s="2"/>
    </row>
    <row r="164" spans="13:13" ht="15.75" customHeight="1" x14ac:dyDescent="0.25">
      <c r="M164" s="2"/>
    </row>
    <row r="165" spans="13:13" ht="15.75" customHeight="1" x14ac:dyDescent="0.25">
      <c r="M165" s="2"/>
    </row>
    <row r="166" spans="13:13" ht="15.75" customHeight="1" x14ac:dyDescent="0.25">
      <c r="M166" s="2"/>
    </row>
    <row r="167" spans="13:13" ht="15.75" customHeight="1" x14ac:dyDescent="0.25">
      <c r="M167" s="2"/>
    </row>
    <row r="168" spans="13:13" ht="15.75" customHeight="1" x14ac:dyDescent="0.25">
      <c r="M168" s="2"/>
    </row>
    <row r="169" spans="13:13" ht="15.75" customHeight="1" x14ac:dyDescent="0.25">
      <c r="M169" s="2"/>
    </row>
    <row r="170" spans="13:13" ht="15.75" customHeight="1" x14ac:dyDescent="0.25">
      <c r="M170" s="2"/>
    </row>
    <row r="171" spans="13:13" ht="15.75" customHeight="1" x14ac:dyDescent="0.25">
      <c r="M171" s="2"/>
    </row>
    <row r="172" spans="13:13" ht="15.75" customHeight="1" x14ac:dyDescent="0.25">
      <c r="M172" s="2"/>
    </row>
    <row r="173" spans="13:13" ht="15.75" customHeight="1" x14ac:dyDescent="0.25">
      <c r="M173" s="2"/>
    </row>
    <row r="174" spans="13:13" ht="15.75" customHeight="1" x14ac:dyDescent="0.25">
      <c r="M174" s="2"/>
    </row>
    <row r="175" spans="13:13" ht="15.75" customHeight="1" x14ac:dyDescent="0.25">
      <c r="M175" s="2"/>
    </row>
    <row r="176" spans="13:13" ht="15.75" customHeight="1" x14ac:dyDescent="0.25">
      <c r="M176" s="2"/>
    </row>
    <row r="177" spans="13:13" ht="15.75" customHeight="1" x14ac:dyDescent="0.25">
      <c r="M177" s="2"/>
    </row>
    <row r="178" spans="13:13" ht="15.75" customHeight="1" x14ac:dyDescent="0.25">
      <c r="M178" s="2"/>
    </row>
    <row r="179" spans="13:13" ht="15.75" customHeight="1" x14ac:dyDescent="0.25">
      <c r="M179" s="2"/>
    </row>
    <row r="180" spans="13:13" ht="15.75" customHeight="1" x14ac:dyDescent="0.25">
      <c r="M180" s="2"/>
    </row>
    <row r="181" spans="13:13" ht="15.75" customHeight="1" x14ac:dyDescent="0.25">
      <c r="M181" s="2"/>
    </row>
    <row r="182" spans="13:13" ht="15.75" customHeight="1" x14ac:dyDescent="0.25">
      <c r="M182" s="2"/>
    </row>
    <row r="183" spans="13:13" ht="15.75" customHeight="1" x14ac:dyDescent="0.25">
      <c r="M183" s="2"/>
    </row>
    <row r="184" spans="13:13" ht="15.75" customHeight="1" x14ac:dyDescent="0.25">
      <c r="M184" s="2"/>
    </row>
    <row r="185" spans="13:13" ht="15.75" customHeight="1" x14ac:dyDescent="0.25">
      <c r="M185" s="2"/>
    </row>
    <row r="186" spans="13:13" ht="15.75" customHeight="1" x14ac:dyDescent="0.25">
      <c r="M186" s="2"/>
    </row>
    <row r="187" spans="13:13" ht="15.75" customHeight="1" x14ac:dyDescent="0.25">
      <c r="M187" s="2"/>
    </row>
    <row r="188" spans="13:13" ht="15.75" customHeight="1" x14ac:dyDescent="0.25">
      <c r="M188" s="2"/>
    </row>
    <row r="189" spans="13:13" ht="15.75" customHeight="1" x14ac:dyDescent="0.25">
      <c r="M189" s="2"/>
    </row>
    <row r="190" spans="13:13" ht="15.75" customHeight="1" x14ac:dyDescent="0.25">
      <c r="M190" s="2"/>
    </row>
    <row r="191" spans="13:13" ht="15.75" customHeight="1" x14ac:dyDescent="0.25">
      <c r="M191" s="2"/>
    </row>
    <row r="192" spans="13:13" ht="15.75" customHeight="1" x14ac:dyDescent="0.25">
      <c r="M192" s="2"/>
    </row>
    <row r="193" spans="13:13" ht="15.75" customHeight="1" x14ac:dyDescent="0.25">
      <c r="M193" s="2"/>
    </row>
    <row r="194" spans="13:13" ht="15.75" customHeight="1" x14ac:dyDescent="0.25">
      <c r="M194" s="2"/>
    </row>
    <row r="195" spans="13:13" ht="15.75" customHeight="1" x14ac:dyDescent="0.25">
      <c r="M195" s="2"/>
    </row>
    <row r="196" spans="13:13" ht="15.75" customHeight="1" x14ac:dyDescent="0.25">
      <c r="M196" s="2"/>
    </row>
    <row r="197" spans="13:13" ht="15.75" customHeight="1" x14ac:dyDescent="0.25">
      <c r="M197" s="2"/>
    </row>
    <row r="198" spans="13:13" ht="15.75" customHeight="1" x14ac:dyDescent="0.25">
      <c r="M198" s="2"/>
    </row>
    <row r="199" spans="13:13" ht="15.75" customHeight="1" x14ac:dyDescent="0.25">
      <c r="M199" s="2"/>
    </row>
    <row r="200" spans="13:13" ht="15.75" customHeight="1" x14ac:dyDescent="0.25">
      <c r="M200" s="2"/>
    </row>
    <row r="201" spans="13:13" ht="15.75" customHeight="1" x14ac:dyDescent="0.25">
      <c r="M201" s="2"/>
    </row>
    <row r="202" spans="13:13" ht="15.75" customHeight="1" x14ac:dyDescent="0.25">
      <c r="M202" s="2"/>
    </row>
    <row r="203" spans="13:13" ht="15.75" customHeight="1" x14ac:dyDescent="0.25">
      <c r="M203" s="2"/>
    </row>
    <row r="204" spans="13:13" ht="15.75" customHeight="1" x14ac:dyDescent="0.25">
      <c r="M204" s="2"/>
    </row>
    <row r="205" spans="13:13" ht="15.75" customHeight="1" x14ac:dyDescent="0.25">
      <c r="M205" s="2"/>
    </row>
    <row r="206" spans="13:13" ht="15.75" customHeight="1" x14ac:dyDescent="0.25">
      <c r="M206" s="2"/>
    </row>
    <row r="207" spans="13:13" ht="15.75" customHeight="1" x14ac:dyDescent="0.25">
      <c r="M207" s="2"/>
    </row>
    <row r="208" spans="13:13" ht="15.75" customHeight="1" x14ac:dyDescent="0.25">
      <c r="M208" s="2"/>
    </row>
    <row r="209" spans="13:13" ht="15.75" customHeight="1" x14ac:dyDescent="0.25">
      <c r="M209" s="2"/>
    </row>
    <row r="210" spans="13:13" ht="15.75" customHeight="1" x14ac:dyDescent="0.25">
      <c r="M210" s="2"/>
    </row>
    <row r="211" spans="13:13" ht="15.75" customHeight="1" x14ac:dyDescent="0.25">
      <c r="M211" s="2"/>
    </row>
    <row r="212" spans="13:13" ht="15.75" customHeight="1" x14ac:dyDescent="0.25">
      <c r="M212" s="2"/>
    </row>
    <row r="213" spans="13:13" ht="15.75" customHeight="1" x14ac:dyDescent="0.25">
      <c r="M213" s="2"/>
    </row>
    <row r="214" spans="13:13" ht="15.75" customHeight="1" x14ac:dyDescent="0.25">
      <c r="M214" s="2"/>
    </row>
    <row r="215" spans="13:13" ht="15.75" customHeight="1" x14ac:dyDescent="0.25">
      <c r="M215" s="2"/>
    </row>
    <row r="216" spans="13:13" ht="15.75" customHeight="1" x14ac:dyDescent="0.25">
      <c r="M216" s="2"/>
    </row>
    <row r="217" spans="13:13" ht="15.75" customHeight="1" x14ac:dyDescent="0.25">
      <c r="M217" s="2"/>
    </row>
    <row r="218" spans="13:13" ht="15.75" customHeight="1" x14ac:dyDescent="0.25">
      <c r="M218" s="2"/>
    </row>
    <row r="219" spans="13:13" ht="15.75" customHeight="1" x14ac:dyDescent="0.25">
      <c r="M219" s="2"/>
    </row>
    <row r="220" spans="13:13" ht="15.75" customHeight="1" x14ac:dyDescent="0.25">
      <c r="M220" s="2"/>
    </row>
    <row r="221" spans="13:13" ht="15.75" customHeight="1" x14ac:dyDescent="0.25">
      <c r="M221" s="2"/>
    </row>
    <row r="222" spans="13:13" ht="15.75" customHeight="1" x14ac:dyDescent="0.25">
      <c r="M222" s="2"/>
    </row>
    <row r="223" spans="13:13" ht="15.75" customHeight="1" x14ac:dyDescent="0.25">
      <c r="M223" s="2"/>
    </row>
    <row r="224" spans="13:13" ht="15.75" customHeight="1" x14ac:dyDescent="0.25">
      <c r="M224" s="2"/>
    </row>
    <row r="225" spans="13:13" ht="15.75" customHeight="1" x14ac:dyDescent="0.25">
      <c r="M225" s="2"/>
    </row>
    <row r="226" spans="13:13" ht="15.75" customHeight="1" x14ac:dyDescent="0.25">
      <c r="M226" s="2"/>
    </row>
    <row r="227" spans="13:13" ht="15.75" customHeight="1" x14ac:dyDescent="0.25">
      <c r="M227" s="2"/>
    </row>
    <row r="228" spans="13:13" ht="15.75" customHeight="1" x14ac:dyDescent="0.25">
      <c r="M228" s="2"/>
    </row>
    <row r="229" spans="13:13" ht="15.75" customHeight="1" x14ac:dyDescent="0.25">
      <c r="M229" s="2"/>
    </row>
    <row r="230" spans="13:13" ht="15.75" customHeight="1" x14ac:dyDescent="0.25">
      <c r="M230" s="2"/>
    </row>
    <row r="231" spans="13:13" ht="15.75" customHeight="1" x14ac:dyDescent="0.25">
      <c r="M231" s="2"/>
    </row>
    <row r="232" spans="13:13" ht="15.75" customHeight="1" x14ac:dyDescent="0.25">
      <c r="M232" s="2"/>
    </row>
    <row r="233" spans="13:13" ht="15.75" customHeight="1" x14ac:dyDescent="0.25">
      <c r="M233" s="2"/>
    </row>
    <row r="234" spans="13:13" ht="15.75" customHeight="1" x14ac:dyDescent="0.25">
      <c r="M234" s="2"/>
    </row>
    <row r="235" spans="13:13" ht="15.75" customHeight="1" x14ac:dyDescent="0.25">
      <c r="M235" s="2"/>
    </row>
    <row r="236" spans="13:13" ht="15.75" customHeight="1" x14ac:dyDescent="0.25">
      <c r="M236" s="2"/>
    </row>
    <row r="237" spans="13:13" ht="15.75" customHeight="1" x14ac:dyDescent="0.25">
      <c r="M237" s="2"/>
    </row>
    <row r="238" spans="13:13" ht="15.75" customHeight="1" x14ac:dyDescent="0.25">
      <c r="M238" s="2"/>
    </row>
    <row r="239" spans="13:13" ht="15.75" customHeight="1" x14ac:dyDescent="0.25">
      <c r="M239" s="2"/>
    </row>
    <row r="240" spans="13:13" ht="15.75" customHeight="1" x14ac:dyDescent="0.25">
      <c r="M240" s="2"/>
    </row>
    <row r="241" spans="13:13" ht="15.75" customHeight="1" x14ac:dyDescent="0.25">
      <c r="M241" s="2"/>
    </row>
    <row r="242" spans="13:13" ht="15.75" customHeight="1" x14ac:dyDescent="0.25">
      <c r="M242" s="2"/>
    </row>
    <row r="243" spans="13:13" ht="15.75" customHeight="1" x14ac:dyDescent="0.25">
      <c r="M243" s="2"/>
    </row>
    <row r="244" spans="13:13" ht="15.75" customHeight="1" x14ac:dyDescent="0.25">
      <c r="M244" s="2"/>
    </row>
    <row r="245" spans="13:13" ht="15.75" customHeight="1" x14ac:dyDescent="0.25">
      <c r="M245" s="2"/>
    </row>
    <row r="246" spans="13:13" ht="15.75" customHeight="1" x14ac:dyDescent="0.25">
      <c r="M246" s="2"/>
    </row>
    <row r="247" spans="13:13" ht="15.75" customHeight="1" x14ac:dyDescent="0.25">
      <c r="M247" s="2"/>
    </row>
    <row r="248" spans="13:13" ht="15.75" customHeight="1" x14ac:dyDescent="0.25">
      <c r="M248" s="2"/>
    </row>
    <row r="249" spans="13:13" ht="15.75" customHeight="1" x14ac:dyDescent="0.25">
      <c r="M249" s="2"/>
    </row>
    <row r="250" spans="13:13" ht="15.75" customHeight="1" x14ac:dyDescent="0.25">
      <c r="M250" s="2"/>
    </row>
    <row r="251" spans="13:13" ht="15.75" customHeight="1" x14ac:dyDescent="0.25">
      <c r="M251" s="2"/>
    </row>
    <row r="252" spans="13:13" ht="15.75" customHeight="1" x14ac:dyDescent="0.25">
      <c r="M252" s="2"/>
    </row>
    <row r="253" spans="13:13" ht="15.75" customHeight="1" x14ac:dyDescent="0.25">
      <c r="M253" s="2"/>
    </row>
    <row r="254" spans="13:13" ht="15.75" customHeight="1" x14ac:dyDescent="0.25">
      <c r="M254" s="2"/>
    </row>
    <row r="255" spans="13:13" ht="15.75" customHeight="1" x14ac:dyDescent="0.25">
      <c r="M255" s="2"/>
    </row>
    <row r="256" spans="13:13" ht="15.75" customHeight="1" x14ac:dyDescent="0.25">
      <c r="M256" s="2"/>
    </row>
    <row r="257" spans="13:13" ht="15.75" customHeight="1" x14ac:dyDescent="0.25">
      <c r="M257" s="2"/>
    </row>
    <row r="258" spans="13:13" ht="15.75" customHeight="1" x14ac:dyDescent="0.25">
      <c r="M258" s="2"/>
    </row>
    <row r="259" spans="13:13" ht="15.75" customHeight="1" x14ac:dyDescent="0.25">
      <c r="M259" s="2"/>
    </row>
    <row r="260" spans="13:13" ht="15.75" customHeight="1" x14ac:dyDescent="0.25">
      <c r="M260" s="2"/>
    </row>
    <row r="261" spans="13:13" ht="15.75" customHeight="1" x14ac:dyDescent="0.25">
      <c r="M261" s="2"/>
    </row>
    <row r="262" spans="13:13" ht="15.75" customHeight="1" x14ac:dyDescent="0.25">
      <c r="M262" s="2"/>
    </row>
    <row r="263" spans="13:13" ht="15.75" customHeight="1" x14ac:dyDescent="0.25">
      <c r="M263" s="2"/>
    </row>
    <row r="264" spans="13:13" ht="15.75" customHeight="1" x14ac:dyDescent="0.25">
      <c r="M264" s="2"/>
    </row>
    <row r="265" spans="13:13" ht="15.75" customHeight="1" x14ac:dyDescent="0.25">
      <c r="M265" s="2"/>
    </row>
    <row r="266" spans="13:13" ht="15.75" customHeight="1" x14ac:dyDescent="0.25">
      <c r="M266" s="2"/>
    </row>
    <row r="267" spans="13:13" ht="15.75" customHeight="1" x14ac:dyDescent="0.25">
      <c r="M267" s="2"/>
    </row>
    <row r="268" spans="13:13" ht="15.75" customHeight="1" x14ac:dyDescent="0.25">
      <c r="M268" s="2"/>
    </row>
    <row r="269" spans="13:13" ht="15.75" customHeight="1" x14ac:dyDescent="0.25">
      <c r="M269" s="2"/>
    </row>
    <row r="270" spans="13:13" ht="15.75" customHeight="1" x14ac:dyDescent="0.25">
      <c r="M270" s="2"/>
    </row>
    <row r="271" spans="13:13" ht="15.75" customHeight="1" x14ac:dyDescent="0.25">
      <c r="M271" s="2"/>
    </row>
    <row r="272" spans="13:13" ht="15.75" customHeight="1" x14ac:dyDescent="0.25">
      <c r="M272" s="2"/>
    </row>
    <row r="273" spans="13:13" ht="15.75" customHeight="1" x14ac:dyDescent="0.25">
      <c r="M273" s="2"/>
    </row>
    <row r="274" spans="13:13" ht="15.75" customHeight="1" x14ac:dyDescent="0.25">
      <c r="M274" s="2"/>
    </row>
    <row r="275" spans="13:13" ht="15.75" customHeight="1" x14ac:dyDescent="0.25">
      <c r="M275" s="2"/>
    </row>
    <row r="276" spans="13:13" ht="15.75" customHeight="1" x14ac:dyDescent="0.25">
      <c r="M276" s="2"/>
    </row>
    <row r="277" spans="13:13" ht="15.75" customHeight="1" x14ac:dyDescent="0.25">
      <c r="M277" s="2"/>
    </row>
    <row r="278" spans="13:13" ht="15.75" customHeight="1" x14ac:dyDescent="0.25">
      <c r="M278" s="2"/>
    </row>
    <row r="279" spans="13:13" ht="15.75" customHeight="1" x14ac:dyDescent="0.25">
      <c r="M279" s="2"/>
    </row>
    <row r="280" spans="13:13" ht="15.75" customHeight="1" x14ac:dyDescent="0.25">
      <c r="M280" s="2"/>
    </row>
    <row r="281" spans="13:13" ht="15.75" customHeight="1" x14ac:dyDescent="0.25">
      <c r="M281" s="2"/>
    </row>
    <row r="282" spans="13:13" ht="15.75" customHeight="1" x14ac:dyDescent="0.25">
      <c r="M282" s="2"/>
    </row>
    <row r="283" spans="13:13" ht="15.75" customHeight="1" x14ac:dyDescent="0.25">
      <c r="M283" s="2"/>
    </row>
    <row r="284" spans="13:13" ht="15.75" customHeight="1" x14ac:dyDescent="0.25">
      <c r="M284" s="2"/>
    </row>
    <row r="285" spans="13:13" ht="15.75" customHeight="1" x14ac:dyDescent="0.25">
      <c r="M285" s="2"/>
    </row>
    <row r="286" spans="13:13" ht="15.75" customHeight="1" x14ac:dyDescent="0.25">
      <c r="M286" s="2"/>
    </row>
    <row r="287" spans="13:13" ht="15.75" customHeight="1" x14ac:dyDescent="0.25">
      <c r="M287" s="2"/>
    </row>
    <row r="288" spans="13:13" ht="15.75" customHeight="1" x14ac:dyDescent="0.25">
      <c r="M288" s="2"/>
    </row>
    <row r="289" spans="13:13" ht="15.75" customHeight="1" x14ac:dyDescent="0.25">
      <c r="M289" s="2"/>
    </row>
    <row r="290" spans="13:13" ht="15.75" customHeight="1" x14ac:dyDescent="0.25">
      <c r="M290" s="2"/>
    </row>
    <row r="291" spans="13:13" ht="15.75" customHeight="1" x14ac:dyDescent="0.25">
      <c r="M291" s="2"/>
    </row>
    <row r="292" spans="13:13" ht="15.75" customHeight="1" x14ac:dyDescent="0.25">
      <c r="M292" s="2"/>
    </row>
    <row r="293" spans="13:13" ht="15.75" customHeight="1" x14ac:dyDescent="0.25">
      <c r="M293" s="2"/>
    </row>
    <row r="294" spans="13:13" ht="15.75" customHeight="1" x14ac:dyDescent="0.25">
      <c r="M294" s="2"/>
    </row>
    <row r="295" spans="13:13" ht="15.75" customHeight="1" x14ac:dyDescent="0.25">
      <c r="M295" s="2"/>
    </row>
    <row r="296" spans="13:13" ht="15.75" customHeight="1" x14ac:dyDescent="0.25">
      <c r="M296" s="2"/>
    </row>
    <row r="297" spans="13:13" ht="15.75" customHeight="1" x14ac:dyDescent="0.25">
      <c r="M297" s="2"/>
    </row>
    <row r="298" spans="13:13" ht="15.75" customHeight="1" x14ac:dyDescent="0.25">
      <c r="M298" s="2"/>
    </row>
    <row r="299" spans="13:13" ht="15.75" customHeight="1" x14ac:dyDescent="0.25">
      <c r="M299" s="2"/>
    </row>
    <row r="300" spans="13:13" ht="15.75" customHeight="1" x14ac:dyDescent="0.25">
      <c r="M300" s="2"/>
    </row>
    <row r="301" spans="13:13" ht="15.75" customHeight="1" x14ac:dyDescent="0.25">
      <c r="M301" s="2"/>
    </row>
    <row r="302" spans="13:13" ht="15.75" customHeight="1" x14ac:dyDescent="0.25">
      <c r="M302" s="2"/>
    </row>
    <row r="303" spans="13:13" ht="15.75" customHeight="1" x14ac:dyDescent="0.25">
      <c r="M303" s="2"/>
    </row>
    <row r="304" spans="13:13" ht="15.75" customHeight="1" x14ac:dyDescent="0.25">
      <c r="M304" s="2"/>
    </row>
    <row r="305" spans="13:13" ht="15.75" customHeight="1" x14ac:dyDescent="0.25">
      <c r="M305" s="2"/>
    </row>
    <row r="306" spans="13:13" ht="15.75" customHeight="1" x14ac:dyDescent="0.25">
      <c r="M306" s="2"/>
    </row>
    <row r="307" spans="13:13" ht="15.75" customHeight="1" x14ac:dyDescent="0.25">
      <c r="M307" s="2"/>
    </row>
    <row r="308" spans="13:13" ht="15.75" customHeight="1" x14ac:dyDescent="0.25">
      <c r="M308" s="2"/>
    </row>
    <row r="309" spans="13:13" ht="15.75" customHeight="1" x14ac:dyDescent="0.25">
      <c r="M309" s="2"/>
    </row>
    <row r="310" spans="13:13" ht="15.75" customHeight="1" x14ac:dyDescent="0.25">
      <c r="M310" s="2"/>
    </row>
    <row r="311" spans="13:13" ht="15.75" customHeight="1" x14ac:dyDescent="0.25">
      <c r="M311" s="2"/>
    </row>
    <row r="312" spans="13:13" ht="15.75" customHeight="1" x14ac:dyDescent="0.25">
      <c r="M312" s="2"/>
    </row>
    <row r="313" spans="13:13" ht="15.75" customHeight="1" x14ac:dyDescent="0.25">
      <c r="M313" s="2"/>
    </row>
    <row r="314" spans="13:13" ht="15.75" customHeight="1" x14ac:dyDescent="0.25">
      <c r="M314" s="2"/>
    </row>
    <row r="315" spans="13:13" ht="15.75" customHeight="1" x14ac:dyDescent="0.25">
      <c r="M315" s="2"/>
    </row>
    <row r="316" spans="13:13" ht="15.75" customHeight="1" x14ac:dyDescent="0.25">
      <c r="M316" s="2"/>
    </row>
    <row r="317" spans="13:13" ht="15.75" customHeight="1" x14ac:dyDescent="0.25">
      <c r="M317" s="2"/>
    </row>
    <row r="318" spans="13:13" ht="15.75" customHeight="1" x14ac:dyDescent="0.25">
      <c r="M318" s="2"/>
    </row>
    <row r="319" spans="13:13" ht="15.75" customHeight="1" x14ac:dyDescent="0.25">
      <c r="M319" s="2"/>
    </row>
    <row r="320" spans="13:13" ht="15.75" customHeight="1" x14ac:dyDescent="0.25">
      <c r="M320" s="2"/>
    </row>
    <row r="321" spans="13:13" ht="15.75" customHeight="1" x14ac:dyDescent="0.25">
      <c r="M321" s="2"/>
    </row>
    <row r="322" spans="13:13" ht="15.75" customHeight="1" x14ac:dyDescent="0.25">
      <c r="M322" s="2"/>
    </row>
    <row r="323" spans="13:13" ht="15.75" customHeight="1" x14ac:dyDescent="0.25">
      <c r="M323" s="2"/>
    </row>
    <row r="324" spans="13:13" ht="15.75" customHeight="1" x14ac:dyDescent="0.25">
      <c r="M324" s="2"/>
    </row>
    <row r="325" spans="13:13" ht="15.75" customHeight="1" x14ac:dyDescent="0.25">
      <c r="M325" s="2"/>
    </row>
    <row r="326" spans="13:13" ht="15.75" customHeight="1" x14ac:dyDescent="0.25">
      <c r="M326" s="2"/>
    </row>
    <row r="327" spans="13:13" ht="15.75" customHeight="1" x14ac:dyDescent="0.25">
      <c r="M327" s="2"/>
    </row>
    <row r="328" spans="13:13" ht="15.75" customHeight="1" x14ac:dyDescent="0.25">
      <c r="M328" s="2"/>
    </row>
    <row r="329" spans="13:13" ht="15.75" customHeight="1" x14ac:dyDescent="0.25">
      <c r="M329" s="2"/>
    </row>
    <row r="330" spans="13:13" ht="15.75" customHeight="1" x14ac:dyDescent="0.25">
      <c r="M330" s="2"/>
    </row>
    <row r="331" spans="13:13" ht="15.75" customHeight="1" x14ac:dyDescent="0.25">
      <c r="M331" s="2"/>
    </row>
    <row r="332" spans="13:13" ht="15.75" customHeight="1" x14ac:dyDescent="0.25">
      <c r="M332" s="2"/>
    </row>
    <row r="333" spans="13:13" ht="15.75" customHeight="1" x14ac:dyDescent="0.25">
      <c r="M333" s="2"/>
    </row>
    <row r="334" spans="13:13" ht="15.75" customHeight="1" x14ac:dyDescent="0.25">
      <c r="M334" s="2"/>
    </row>
    <row r="335" spans="13:13" ht="15.75" customHeight="1" x14ac:dyDescent="0.25">
      <c r="M335" s="2"/>
    </row>
    <row r="336" spans="13:13" ht="15.75" customHeight="1" x14ac:dyDescent="0.25">
      <c r="M336" s="2"/>
    </row>
    <row r="337" spans="13:13" ht="15.75" customHeight="1" x14ac:dyDescent="0.25">
      <c r="M337" s="2"/>
    </row>
    <row r="338" spans="13:13" ht="15.75" customHeight="1" x14ac:dyDescent="0.25">
      <c r="M338" s="2"/>
    </row>
    <row r="339" spans="13:13" ht="15.75" customHeight="1" x14ac:dyDescent="0.25">
      <c r="M339" s="2"/>
    </row>
    <row r="340" spans="13:13" ht="15.75" customHeight="1" x14ac:dyDescent="0.25">
      <c r="M340" s="2"/>
    </row>
    <row r="341" spans="13:13" ht="15.75" customHeight="1" x14ac:dyDescent="0.25">
      <c r="M341" s="2"/>
    </row>
    <row r="342" spans="13:13" ht="15.75" customHeight="1" x14ac:dyDescent="0.25">
      <c r="M342" s="2"/>
    </row>
    <row r="343" spans="13:13" ht="15.75" customHeight="1" x14ac:dyDescent="0.25">
      <c r="M343" s="2"/>
    </row>
    <row r="344" spans="13:13" ht="15.75" customHeight="1" x14ac:dyDescent="0.25">
      <c r="M344" s="2"/>
    </row>
    <row r="345" spans="13:13" ht="15.75" customHeight="1" x14ac:dyDescent="0.25">
      <c r="M345" s="2"/>
    </row>
    <row r="346" spans="13:13" ht="15.75" customHeight="1" x14ac:dyDescent="0.25">
      <c r="M346" s="2"/>
    </row>
    <row r="347" spans="13:13" ht="15.75" customHeight="1" x14ac:dyDescent="0.25">
      <c r="M347" s="2"/>
    </row>
    <row r="348" spans="13:13" ht="15.75" customHeight="1" x14ac:dyDescent="0.25">
      <c r="M348" s="2"/>
    </row>
    <row r="349" spans="13:13" ht="15.75" customHeight="1" x14ac:dyDescent="0.25">
      <c r="M349" s="2"/>
    </row>
    <row r="350" spans="13:13" ht="15.75" customHeight="1" x14ac:dyDescent="0.25">
      <c r="M350" s="2"/>
    </row>
    <row r="351" spans="13:13" ht="15.75" customHeight="1" x14ac:dyDescent="0.25">
      <c r="M351" s="2"/>
    </row>
    <row r="352" spans="13:13" ht="15.75" customHeight="1" x14ac:dyDescent="0.25">
      <c r="M352" s="2"/>
    </row>
    <row r="353" spans="13:13" ht="15.75" customHeight="1" x14ac:dyDescent="0.25">
      <c r="M353" s="2"/>
    </row>
    <row r="354" spans="13:13" ht="15.75" customHeight="1" x14ac:dyDescent="0.25">
      <c r="M354" s="2"/>
    </row>
    <row r="355" spans="13:13" ht="15.75" customHeight="1" x14ac:dyDescent="0.25">
      <c r="M355" s="2"/>
    </row>
    <row r="356" spans="13:13" ht="15.75" customHeight="1" x14ac:dyDescent="0.25">
      <c r="M356" s="2"/>
    </row>
    <row r="357" spans="13:13" ht="15.75" customHeight="1" x14ac:dyDescent="0.25">
      <c r="M357" s="2"/>
    </row>
    <row r="358" spans="13:13" ht="15.75" customHeight="1" x14ac:dyDescent="0.25">
      <c r="M358" s="2"/>
    </row>
    <row r="359" spans="13:13" ht="15.75" customHeight="1" x14ac:dyDescent="0.25">
      <c r="M359" s="2"/>
    </row>
    <row r="360" spans="13:13" ht="15.75" customHeight="1" x14ac:dyDescent="0.25">
      <c r="M360" s="2"/>
    </row>
    <row r="361" spans="13:13" ht="15.75" customHeight="1" x14ac:dyDescent="0.25">
      <c r="M361" s="2"/>
    </row>
    <row r="362" spans="13:13" ht="15.75" customHeight="1" x14ac:dyDescent="0.25">
      <c r="M362" s="2"/>
    </row>
    <row r="363" spans="13:13" ht="15.75" customHeight="1" x14ac:dyDescent="0.25">
      <c r="M363" s="2"/>
    </row>
    <row r="364" spans="13:13" ht="15.75" customHeight="1" x14ac:dyDescent="0.25">
      <c r="M364" s="2"/>
    </row>
    <row r="365" spans="13:13" ht="15.75" customHeight="1" x14ac:dyDescent="0.25">
      <c r="M365" s="2"/>
    </row>
    <row r="366" spans="13:13" ht="15.75" customHeight="1" x14ac:dyDescent="0.25">
      <c r="M366" s="2"/>
    </row>
    <row r="367" spans="13:13" ht="15.75" customHeight="1" x14ac:dyDescent="0.25">
      <c r="M367" s="2"/>
    </row>
    <row r="368" spans="13:13" ht="15.75" customHeight="1" x14ac:dyDescent="0.25">
      <c r="M368" s="2"/>
    </row>
    <row r="369" spans="13:13" ht="15.75" customHeight="1" x14ac:dyDescent="0.25">
      <c r="M369" s="2"/>
    </row>
    <row r="370" spans="13:13" ht="15.75" customHeight="1" x14ac:dyDescent="0.25">
      <c r="M370" s="2"/>
    </row>
    <row r="371" spans="13:13" ht="15.75" customHeight="1" x14ac:dyDescent="0.25">
      <c r="M371" s="2"/>
    </row>
    <row r="372" spans="13:13" ht="15.75" customHeight="1" x14ac:dyDescent="0.25">
      <c r="M372" s="2"/>
    </row>
    <row r="373" spans="13:13" ht="15.75" customHeight="1" x14ac:dyDescent="0.25">
      <c r="M373" s="2"/>
    </row>
    <row r="374" spans="13:13" ht="15.75" customHeight="1" x14ac:dyDescent="0.25">
      <c r="M374" s="2"/>
    </row>
    <row r="375" spans="13:13" ht="15.75" customHeight="1" x14ac:dyDescent="0.25">
      <c r="M375" s="2"/>
    </row>
    <row r="376" spans="13:13" ht="15.75" customHeight="1" x14ac:dyDescent="0.25">
      <c r="M376" s="2"/>
    </row>
    <row r="377" spans="13:13" ht="15.75" customHeight="1" x14ac:dyDescent="0.25">
      <c r="M377" s="2"/>
    </row>
    <row r="378" spans="13:13" ht="15.75" customHeight="1" x14ac:dyDescent="0.25">
      <c r="M378" s="2"/>
    </row>
    <row r="379" spans="13:13" ht="15.75" customHeight="1" x14ac:dyDescent="0.25">
      <c r="M379" s="2"/>
    </row>
    <row r="380" spans="13:13" ht="15.75" customHeight="1" x14ac:dyDescent="0.25">
      <c r="M380" s="2"/>
    </row>
    <row r="381" spans="13:13" ht="15.75" customHeight="1" x14ac:dyDescent="0.25">
      <c r="M381" s="2"/>
    </row>
    <row r="382" spans="13:13" ht="15.75" customHeight="1" x14ac:dyDescent="0.25">
      <c r="M382" s="2"/>
    </row>
    <row r="383" spans="13:13" ht="15.75" customHeight="1" x14ac:dyDescent="0.25">
      <c r="M383" s="2"/>
    </row>
    <row r="384" spans="13:13" ht="15.75" customHeight="1" x14ac:dyDescent="0.25">
      <c r="M384" s="2"/>
    </row>
    <row r="385" spans="13:13" ht="15.75" customHeight="1" x14ac:dyDescent="0.25">
      <c r="M385" s="2"/>
    </row>
    <row r="386" spans="13:13" ht="15.75" customHeight="1" x14ac:dyDescent="0.25">
      <c r="M386" s="2"/>
    </row>
    <row r="387" spans="13:13" ht="15.75" customHeight="1" x14ac:dyDescent="0.25">
      <c r="M387" s="2"/>
    </row>
    <row r="388" spans="13:13" ht="15.75" customHeight="1" x14ac:dyDescent="0.25">
      <c r="M388" s="2"/>
    </row>
    <row r="389" spans="13:13" ht="15.75" customHeight="1" x14ac:dyDescent="0.25">
      <c r="M389" s="2"/>
    </row>
    <row r="390" spans="13:13" ht="15.75" customHeight="1" x14ac:dyDescent="0.25">
      <c r="M390" s="2"/>
    </row>
    <row r="391" spans="13:13" ht="15.75" customHeight="1" x14ac:dyDescent="0.25">
      <c r="M391" s="2"/>
    </row>
    <row r="392" spans="13:13" ht="15.75" customHeight="1" x14ac:dyDescent="0.25">
      <c r="M392" s="2"/>
    </row>
    <row r="393" spans="13:13" ht="15.75" customHeight="1" x14ac:dyDescent="0.25">
      <c r="M393" s="2"/>
    </row>
    <row r="394" spans="13:13" ht="15.75" customHeight="1" x14ac:dyDescent="0.25">
      <c r="M394" s="2"/>
    </row>
    <row r="395" spans="13:13" ht="15.75" customHeight="1" x14ac:dyDescent="0.25">
      <c r="M395" s="2"/>
    </row>
    <row r="396" spans="13:13" ht="15.75" customHeight="1" x14ac:dyDescent="0.25">
      <c r="M396" s="2"/>
    </row>
    <row r="397" spans="13:13" ht="15.75" customHeight="1" x14ac:dyDescent="0.25">
      <c r="M397" s="2"/>
    </row>
    <row r="398" spans="13:13" ht="15.75" customHeight="1" x14ac:dyDescent="0.25">
      <c r="M398" s="2"/>
    </row>
    <row r="399" spans="13:13" ht="15.75" customHeight="1" x14ac:dyDescent="0.25">
      <c r="M399" s="2"/>
    </row>
    <row r="400" spans="13:13" ht="15.75" customHeight="1" x14ac:dyDescent="0.25">
      <c r="M400" s="2"/>
    </row>
    <row r="401" spans="13:13" ht="15.75" customHeight="1" x14ac:dyDescent="0.25">
      <c r="M401" s="2"/>
    </row>
    <row r="402" spans="13:13" ht="15.75" customHeight="1" x14ac:dyDescent="0.25">
      <c r="M402" s="2"/>
    </row>
    <row r="403" spans="13:13" ht="15.75" customHeight="1" x14ac:dyDescent="0.25">
      <c r="M403" s="2"/>
    </row>
    <row r="404" spans="13:13" ht="15.75" customHeight="1" x14ac:dyDescent="0.25">
      <c r="M404" s="2"/>
    </row>
    <row r="405" spans="13:13" ht="15.75" customHeight="1" x14ac:dyDescent="0.25">
      <c r="M405" s="2"/>
    </row>
    <row r="406" spans="13:13" ht="15.75" customHeight="1" x14ac:dyDescent="0.25">
      <c r="M406" s="2"/>
    </row>
    <row r="407" spans="13:13" ht="15.75" customHeight="1" x14ac:dyDescent="0.25">
      <c r="M407" s="2"/>
    </row>
    <row r="408" spans="13:13" ht="15.75" customHeight="1" x14ac:dyDescent="0.25">
      <c r="M408" s="2"/>
    </row>
    <row r="409" spans="13:13" ht="15.75" customHeight="1" x14ac:dyDescent="0.25">
      <c r="M409" s="2"/>
    </row>
    <row r="410" spans="13:13" ht="15.75" customHeight="1" x14ac:dyDescent="0.25">
      <c r="M410" s="2"/>
    </row>
    <row r="411" spans="13:13" ht="15.75" customHeight="1" x14ac:dyDescent="0.25">
      <c r="M411" s="2"/>
    </row>
    <row r="412" spans="13:13" ht="15.75" customHeight="1" x14ac:dyDescent="0.25">
      <c r="M412" s="2"/>
    </row>
    <row r="413" spans="13:13" ht="15.75" customHeight="1" x14ac:dyDescent="0.25">
      <c r="M413" s="2"/>
    </row>
    <row r="414" spans="13:13" ht="15.75" customHeight="1" x14ac:dyDescent="0.25">
      <c r="M414" s="2"/>
    </row>
    <row r="415" spans="13:13" ht="15.75" customHeight="1" x14ac:dyDescent="0.25">
      <c r="M415" s="2"/>
    </row>
    <row r="416" spans="13:13" ht="15.75" customHeight="1" x14ac:dyDescent="0.25">
      <c r="M416" s="2"/>
    </row>
    <row r="417" spans="13:13" ht="15.75" customHeight="1" x14ac:dyDescent="0.25">
      <c r="M417" s="2"/>
    </row>
    <row r="418" spans="13:13" ht="15.75" customHeight="1" x14ac:dyDescent="0.25">
      <c r="M418" s="2"/>
    </row>
    <row r="419" spans="13:13" ht="15.75" customHeight="1" x14ac:dyDescent="0.25">
      <c r="M419" s="2"/>
    </row>
    <row r="420" spans="13:13" ht="15.75" customHeight="1" x14ac:dyDescent="0.25">
      <c r="M420" s="2"/>
    </row>
    <row r="421" spans="13:13" ht="15.75" customHeight="1" x14ac:dyDescent="0.25">
      <c r="M421" s="2"/>
    </row>
    <row r="422" spans="13:13" ht="15.75" customHeight="1" x14ac:dyDescent="0.25">
      <c r="M422" s="2"/>
    </row>
    <row r="423" spans="13:13" ht="15.75" customHeight="1" x14ac:dyDescent="0.25">
      <c r="M423" s="2"/>
    </row>
    <row r="424" spans="13:13" ht="15.75" customHeight="1" x14ac:dyDescent="0.25">
      <c r="M424" s="2"/>
    </row>
    <row r="425" spans="13:13" ht="15.75" customHeight="1" x14ac:dyDescent="0.25">
      <c r="M425" s="2"/>
    </row>
    <row r="426" spans="13:13" ht="15.75" customHeight="1" x14ac:dyDescent="0.25">
      <c r="M426" s="2"/>
    </row>
    <row r="427" spans="13:13" ht="15.75" customHeight="1" x14ac:dyDescent="0.25">
      <c r="M427" s="2"/>
    </row>
    <row r="428" spans="13:13" ht="15.75" customHeight="1" x14ac:dyDescent="0.25">
      <c r="M428" s="2"/>
    </row>
    <row r="429" spans="13:13" ht="15.75" customHeight="1" x14ac:dyDescent="0.25">
      <c r="M429" s="2"/>
    </row>
    <row r="430" spans="13:13" ht="15.75" customHeight="1" x14ac:dyDescent="0.25">
      <c r="M430" s="2"/>
    </row>
    <row r="431" spans="13:13" ht="15.75" customHeight="1" x14ac:dyDescent="0.25">
      <c r="M431" s="2"/>
    </row>
    <row r="432" spans="13:13" ht="15.75" customHeight="1" x14ac:dyDescent="0.25">
      <c r="M432" s="2"/>
    </row>
    <row r="433" spans="13:13" ht="15.75" customHeight="1" x14ac:dyDescent="0.25">
      <c r="M433" s="2"/>
    </row>
    <row r="434" spans="13:13" ht="15.75" customHeight="1" x14ac:dyDescent="0.25">
      <c r="M434" s="2"/>
    </row>
    <row r="435" spans="13:13" ht="15.75" customHeight="1" x14ac:dyDescent="0.25">
      <c r="M435" s="2"/>
    </row>
    <row r="436" spans="13:13" ht="15.75" customHeight="1" x14ac:dyDescent="0.25">
      <c r="M436" s="2"/>
    </row>
    <row r="437" spans="13:13" ht="15.75" customHeight="1" x14ac:dyDescent="0.25">
      <c r="M437" s="2"/>
    </row>
    <row r="438" spans="13:13" ht="15.75" customHeight="1" x14ac:dyDescent="0.25">
      <c r="M438" s="2"/>
    </row>
    <row r="439" spans="13:13" ht="15.75" customHeight="1" x14ac:dyDescent="0.25">
      <c r="M439" s="2"/>
    </row>
    <row r="440" spans="13:13" ht="15.75" customHeight="1" x14ac:dyDescent="0.25">
      <c r="M440" s="2"/>
    </row>
    <row r="441" spans="13:13" ht="15.75" customHeight="1" x14ac:dyDescent="0.25">
      <c r="M441" s="2"/>
    </row>
    <row r="442" spans="13:13" ht="15.75" customHeight="1" x14ac:dyDescent="0.25">
      <c r="M442" s="2"/>
    </row>
    <row r="443" spans="13:13" ht="15.75" customHeight="1" x14ac:dyDescent="0.25">
      <c r="M443" s="2"/>
    </row>
    <row r="444" spans="13:13" ht="15.75" customHeight="1" x14ac:dyDescent="0.25">
      <c r="M444" s="2"/>
    </row>
    <row r="445" spans="13:13" ht="15.75" customHeight="1" x14ac:dyDescent="0.25">
      <c r="M445" s="2"/>
    </row>
    <row r="446" spans="13:13" ht="15.75" customHeight="1" x14ac:dyDescent="0.25">
      <c r="M446" s="2"/>
    </row>
    <row r="447" spans="13:13" ht="15.75" customHeight="1" x14ac:dyDescent="0.25">
      <c r="M447" s="2"/>
    </row>
    <row r="448" spans="13:13" ht="15.75" customHeight="1" x14ac:dyDescent="0.25">
      <c r="M448" s="2"/>
    </row>
    <row r="449" spans="13:13" ht="15.75" customHeight="1" x14ac:dyDescent="0.25">
      <c r="M449" s="2"/>
    </row>
    <row r="450" spans="13:13" ht="15.75" customHeight="1" x14ac:dyDescent="0.25">
      <c r="M450" s="2"/>
    </row>
    <row r="451" spans="13:13" ht="15.75" customHeight="1" x14ac:dyDescent="0.25">
      <c r="M451" s="2"/>
    </row>
    <row r="452" spans="13:13" ht="15.75" customHeight="1" x14ac:dyDescent="0.25">
      <c r="M452" s="2"/>
    </row>
    <row r="453" spans="13:13" ht="15.75" customHeight="1" x14ac:dyDescent="0.25">
      <c r="M453" s="2"/>
    </row>
    <row r="454" spans="13:13" ht="15.75" customHeight="1" x14ac:dyDescent="0.25">
      <c r="M454" s="2"/>
    </row>
    <row r="455" spans="13:13" ht="15.75" customHeight="1" x14ac:dyDescent="0.25">
      <c r="M455" s="2"/>
    </row>
    <row r="456" spans="13:13" ht="15.75" customHeight="1" x14ac:dyDescent="0.25">
      <c r="M456" s="2"/>
    </row>
    <row r="457" spans="13:13" ht="15.75" customHeight="1" x14ac:dyDescent="0.25">
      <c r="M457" s="2"/>
    </row>
    <row r="458" spans="13:13" ht="15.75" customHeight="1" x14ac:dyDescent="0.25">
      <c r="M458" s="2"/>
    </row>
    <row r="459" spans="13:13" ht="15.75" customHeight="1" x14ac:dyDescent="0.25">
      <c r="M459" s="2"/>
    </row>
    <row r="460" spans="13:13" ht="15.75" customHeight="1" x14ac:dyDescent="0.25">
      <c r="M460" s="2"/>
    </row>
    <row r="461" spans="13:13" ht="15.75" customHeight="1" x14ac:dyDescent="0.25">
      <c r="M461" s="2"/>
    </row>
    <row r="462" spans="13:13" ht="15.75" customHeight="1" x14ac:dyDescent="0.25">
      <c r="M462" s="2"/>
    </row>
    <row r="463" spans="13:13" ht="15.75" customHeight="1" x14ac:dyDescent="0.25">
      <c r="M463" s="2"/>
    </row>
    <row r="464" spans="13:13" ht="15.75" customHeight="1" x14ac:dyDescent="0.25">
      <c r="M464" s="2"/>
    </row>
    <row r="465" spans="13:13" ht="15.75" customHeight="1" x14ac:dyDescent="0.25">
      <c r="M465" s="2"/>
    </row>
    <row r="466" spans="13:13" ht="15.75" customHeight="1" x14ac:dyDescent="0.25">
      <c r="M466" s="2"/>
    </row>
    <row r="467" spans="13:13" ht="15.75" customHeight="1" x14ac:dyDescent="0.25">
      <c r="M467" s="2"/>
    </row>
    <row r="468" spans="13:13" ht="15.75" customHeight="1" x14ac:dyDescent="0.25">
      <c r="M468" s="2"/>
    </row>
    <row r="469" spans="13:13" ht="15.75" customHeight="1" x14ac:dyDescent="0.25">
      <c r="M469" s="2"/>
    </row>
    <row r="470" spans="13:13" ht="15.75" customHeight="1" x14ac:dyDescent="0.25">
      <c r="M470" s="2"/>
    </row>
    <row r="471" spans="13:13" ht="15.75" customHeight="1" x14ac:dyDescent="0.25">
      <c r="M471" s="2"/>
    </row>
    <row r="472" spans="13:13" ht="15.75" customHeight="1" x14ac:dyDescent="0.25">
      <c r="M472" s="2"/>
    </row>
    <row r="473" spans="13:13" ht="15.75" customHeight="1" x14ac:dyDescent="0.25">
      <c r="M473" s="2"/>
    </row>
    <row r="474" spans="13:13" ht="15.75" customHeight="1" x14ac:dyDescent="0.25">
      <c r="M474" s="2"/>
    </row>
    <row r="475" spans="13:13" ht="15.75" customHeight="1" x14ac:dyDescent="0.25">
      <c r="M475" s="2"/>
    </row>
    <row r="476" spans="13:13" ht="15.75" customHeight="1" x14ac:dyDescent="0.25">
      <c r="M476" s="2"/>
    </row>
    <row r="477" spans="13:13" ht="15.75" customHeight="1" x14ac:dyDescent="0.25">
      <c r="M477" s="2"/>
    </row>
    <row r="478" spans="13:13" ht="15.75" customHeight="1" x14ac:dyDescent="0.25">
      <c r="M478" s="2"/>
    </row>
    <row r="479" spans="13:13" ht="15.75" customHeight="1" x14ac:dyDescent="0.25">
      <c r="M479" s="2"/>
    </row>
    <row r="480" spans="13:13" ht="15.75" customHeight="1" x14ac:dyDescent="0.25">
      <c r="M480" s="2"/>
    </row>
    <row r="481" spans="13:13" ht="15.75" customHeight="1" x14ac:dyDescent="0.25">
      <c r="M481" s="2"/>
    </row>
    <row r="482" spans="13:13" ht="15.75" customHeight="1" x14ac:dyDescent="0.25">
      <c r="M482" s="2"/>
    </row>
    <row r="483" spans="13:13" ht="15.75" customHeight="1" x14ac:dyDescent="0.25">
      <c r="M483" s="2"/>
    </row>
    <row r="484" spans="13:13" ht="15.75" customHeight="1" x14ac:dyDescent="0.25">
      <c r="M484" s="2"/>
    </row>
    <row r="485" spans="13:13" ht="15.75" customHeight="1" x14ac:dyDescent="0.25">
      <c r="M485" s="2"/>
    </row>
    <row r="486" spans="13:13" ht="15.75" customHeight="1" x14ac:dyDescent="0.25">
      <c r="M486" s="2"/>
    </row>
    <row r="487" spans="13:13" ht="15.75" customHeight="1" x14ac:dyDescent="0.25">
      <c r="M487" s="2"/>
    </row>
    <row r="488" spans="13:13" ht="15.75" customHeight="1" x14ac:dyDescent="0.25">
      <c r="M488" s="2"/>
    </row>
    <row r="489" spans="13:13" ht="15.75" customHeight="1" x14ac:dyDescent="0.25">
      <c r="M489" s="2"/>
    </row>
    <row r="490" spans="13:13" ht="15.75" customHeight="1" x14ac:dyDescent="0.25">
      <c r="M490" s="2"/>
    </row>
    <row r="491" spans="13:13" ht="15.75" customHeight="1" x14ac:dyDescent="0.25">
      <c r="M491" s="2"/>
    </row>
    <row r="492" spans="13:13" ht="15.75" customHeight="1" x14ac:dyDescent="0.25">
      <c r="M492" s="2"/>
    </row>
    <row r="493" spans="13:13" ht="15.75" customHeight="1" x14ac:dyDescent="0.25">
      <c r="M493" s="2"/>
    </row>
    <row r="494" spans="13:13" ht="15.75" customHeight="1" x14ac:dyDescent="0.25">
      <c r="M494" s="2"/>
    </row>
    <row r="495" spans="13:13" ht="15.75" customHeight="1" x14ac:dyDescent="0.25">
      <c r="M495" s="2"/>
    </row>
    <row r="496" spans="13:13" ht="15.75" customHeight="1" x14ac:dyDescent="0.25">
      <c r="M496" s="2"/>
    </row>
    <row r="497" spans="13:13" ht="15.75" customHeight="1" x14ac:dyDescent="0.25">
      <c r="M497" s="2"/>
    </row>
    <row r="498" spans="13:13" ht="15.75" customHeight="1" x14ac:dyDescent="0.25">
      <c r="M498" s="2"/>
    </row>
    <row r="499" spans="13:13" ht="15.75" customHeight="1" x14ac:dyDescent="0.25">
      <c r="M499" s="2"/>
    </row>
    <row r="500" spans="13:13" ht="15.75" customHeight="1" x14ac:dyDescent="0.25">
      <c r="M500" s="2"/>
    </row>
    <row r="501" spans="13:13" ht="15.75" customHeight="1" x14ac:dyDescent="0.25">
      <c r="M501" s="2"/>
    </row>
    <row r="502" spans="13:13" ht="15.75" customHeight="1" x14ac:dyDescent="0.25">
      <c r="M502" s="2"/>
    </row>
    <row r="503" spans="13:13" ht="15.75" customHeight="1" x14ac:dyDescent="0.25">
      <c r="M503" s="2"/>
    </row>
    <row r="504" spans="13:13" ht="15.75" customHeight="1" x14ac:dyDescent="0.25">
      <c r="M504" s="2"/>
    </row>
    <row r="505" spans="13:13" ht="15.75" customHeight="1" x14ac:dyDescent="0.25">
      <c r="M505" s="2"/>
    </row>
    <row r="506" spans="13:13" ht="15.75" customHeight="1" x14ac:dyDescent="0.25">
      <c r="M506" s="2"/>
    </row>
    <row r="507" spans="13:13" ht="15.75" customHeight="1" x14ac:dyDescent="0.25">
      <c r="M507" s="2"/>
    </row>
    <row r="508" spans="13:13" ht="15.75" customHeight="1" x14ac:dyDescent="0.25">
      <c r="M508" s="2"/>
    </row>
    <row r="509" spans="13:13" ht="15.75" customHeight="1" x14ac:dyDescent="0.25">
      <c r="M509" s="2"/>
    </row>
    <row r="510" spans="13:13" ht="15.75" customHeight="1" x14ac:dyDescent="0.25">
      <c r="M510" s="2"/>
    </row>
    <row r="511" spans="13:13" ht="15.75" customHeight="1" x14ac:dyDescent="0.25">
      <c r="M511" s="2"/>
    </row>
    <row r="512" spans="13:13" ht="15.75" customHeight="1" x14ac:dyDescent="0.25">
      <c r="M512" s="2"/>
    </row>
    <row r="513" spans="13:13" ht="15.75" customHeight="1" x14ac:dyDescent="0.25">
      <c r="M513" s="2"/>
    </row>
    <row r="514" spans="13:13" ht="15.75" customHeight="1" x14ac:dyDescent="0.25">
      <c r="M514" s="2"/>
    </row>
    <row r="515" spans="13:13" ht="15.75" customHeight="1" x14ac:dyDescent="0.25">
      <c r="M515" s="2"/>
    </row>
    <row r="516" spans="13:13" ht="15.75" customHeight="1" x14ac:dyDescent="0.25">
      <c r="M516" s="2"/>
    </row>
    <row r="517" spans="13:13" ht="15.75" customHeight="1" x14ac:dyDescent="0.25">
      <c r="M517" s="2"/>
    </row>
    <row r="518" spans="13:13" ht="15.75" customHeight="1" x14ac:dyDescent="0.25">
      <c r="M518" s="2"/>
    </row>
    <row r="519" spans="13:13" ht="15.75" customHeight="1" x14ac:dyDescent="0.25">
      <c r="M519" s="2"/>
    </row>
    <row r="520" spans="13:13" ht="15.75" customHeight="1" x14ac:dyDescent="0.25">
      <c r="M520" s="2"/>
    </row>
    <row r="521" spans="13:13" ht="15.75" customHeight="1" x14ac:dyDescent="0.25">
      <c r="M521" s="2"/>
    </row>
    <row r="522" spans="13:13" ht="15.75" customHeight="1" x14ac:dyDescent="0.25">
      <c r="M522" s="2"/>
    </row>
    <row r="523" spans="13:13" ht="15.75" customHeight="1" x14ac:dyDescent="0.25">
      <c r="M523" s="2"/>
    </row>
    <row r="524" spans="13:13" ht="15.75" customHeight="1" x14ac:dyDescent="0.25">
      <c r="M524" s="2"/>
    </row>
    <row r="525" spans="13:13" ht="15.75" customHeight="1" x14ac:dyDescent="0.25">
      <c r="M525" s="2"/>
    </row>
    <row r="526" spans="13:13" ht="15.75" customHeight="1" x14ac:dyDescent="0.25">
      <c r="M526" s="2"/>
    </row>
    <row r="527" spans="13:13" ht="15.75" customHeight="1" x14ac:dyDescent="0.25">
      <c r="M527" s="2"/>
    </row>
    <row r="528" spans="13:13" ht="15.75" customHeight="1" x14ac:dyDescent="0.25">
      <c r="M528" s="2"/>
    </row>
    <row r="529" spans="13:13" ht="15.75" customHeight="1" x14ac:dyDescent="0.25">
      <c r="M529" s="2"/>
    </row>
    <row r="530" spans="13:13" ht="15.75" customHeight="1" x14ac:dyDescent="0.25">
      <c r="M530" s="2"/>
    </row>
    <row r="531" spans="13:13" ht="15.75" customHeight="1" x14ac:dyDescent="0.25">
      <c r="M531" s="2"/>
    </row>
    <row r="532" spans="13:13" ht="15.75" customHeight="1" x14ac:dyDescent="0.25">
      <c r="M532" s="2"/>
    </row>
    <row r="533" spans="13:13" ht="15.75" customHeight="1" x14ac:dyDescent="0.25">
      <c r="M533" s="2"/>
    </row>
    <row r="534" spans="13:13" ht="15.75" customHeight="1" x14ac:dyDescent="0.25">
      <c r="M534" s="2"/>
    </row>
    <row r="535" spans="13:13" ht="15.75" customHeight="1" x14ac:dyDescent="0.25">
      <c r="M535" s="2"/>
    </row>
    <row r="536" spans="13:13" ht="15.75" customHeight="1" x14ac:dyDescent="0.25">
      <c r="M536" s="2"/>
    </row>
    <row r="537" spans="13:13" ht="15.75" customHeight="1" x14ac:dyDescent="0.25">
      <c r="M537" s="2"/>
    </row>
    <row r="538" spans="13:13" ht="15.75" customHeight="1" x14ac:dyDescent="0.25">
      <c r="M538" s="2"/>
    </row>
    <row r="539" spans="13:13" ht="15.75" customHeight="1" x14ac:dyDescent="0.25">
      <c r="M539" s="2"/>
    </row>
    <row r="540" spans="13:13" ht="15.75" customHeight="1" x14ac:dyDescent="0.25">
      <c r="M540" s="2"/>
    </row>
    <row r="541" spans="13:13" ht="15.75" customHeight="1" x14ac:dyDescent="0.25">
      <c r="M541" s="2"/>
    </row>
    <row r="542" spans="13:13" ht="15.75" customHeight="1" x14ac:dyDescent="0.25">
      <c r="M542" s="2"/>
    </row>
    <row r="543" spans="13:13" ht="15.75" customHeight="1" x14ac:dyDescent="0.25">
      <c r="M543" s="2"/>
    </row>
    <row r="544" spans="13:13" ht="15.75" customHeight="1" x14ac:dyDescent="0.25">
      <c r="M544" s="2"/>
    </row>
    <row r="545" spans="13:13" ht="15.75" customHeight="1" x14ac:dyDescent="0.25">
      <c r="M545" s="2"/>
    </row>
    <row r="546" spans="13:13" ht="15.75" customHeight="1" x14ac:dyDescent="0.25">
      <c r="M546" s="2"/>
    </row>
    <row r="547" spans="13:13" ht="15.75" customHeight="1" x14ac:dyDescent="0.25">
      <c r="M547" s="2"/>
    </row>
    <row r="548" spans="13:13" ht="15.75" customHeight="1" x14ac:dyDescent="0.25">
      <c r="M548" s="2"/>
    </row>
    <row r="549" spans="13:13" ht="15.75" customHeight="1" x14ac:dyDescent="0.25">
      <c r="M549" s="2"/>
    </row>
    <row r="550" spans="13:13" ht="15.75" customHeight="1" x14ac:dyDescent="0.25">
      <c r="M550" s="2"/>
    </row>
    <row r="551" spans="13:13" ht="15.75" customHeight="1" x14ac:dyDescent="0.25">
      <c r="M551" s="2"/>
    </row>
    <row r="552" spans="13:13" ht="15.75" customHeight="1" x14ac:dyDescent="0.25">
      <c r="M552" s="2"/>
    </row>
    <row r="553" spans="13:13" ht="15.75" customHeight="1" x14ac:dyDescent="0.25">
      <c r="M553" s="2"/>
    </row>
    <row r="554" spans="13:13" ht="15.75" customHeight="1" x14ac:dyDescent="0.25">
      <c r="M554" s="2"/>
    </row>
    <row r="555" spans="13:13" ht="15.75" customHeight="1" x14ac:dyDescent="0.25">
      <c r="M555" s="2"/>
    </row>
    <row r="556" spans="13:13" ht="15.75" customHeight="1" x14ac:dyDescent="0.25">
      <c r="M556" s="2"/>
    </row>
    <row r="557" spans="13:13" ht="15.75" customHeight="1" x14ac:dyDescent="0.25">
      <c r="M557" s="2"/>
    </row>
    <row r="558" spans="13:13" ht="15.75" customHeight="1" x14ac:dyDescent="0.25">
      <c r="M558" s="2"/>
    </row>
    <row r="559" spans="13:13" ht="15.75" customHeight="1" x14ac:dyDescent="0.25">
      <c r="M559" s="2"/>
    </row>
    <row r="560" spans="13:13" ht="15.75" customHeight="1" x14ac:dyDescent="0.25">
      <c r="M560" s="2"/>
    </row>
    <row r="561" spans="13:13" ht="15.75" customHeight="1" x14ac:dyDescent="0.25">
      <c r="M561" s="2"/>
    </row>
    <row r="562" spans="13:13" ht="15.75" customHeight="1" x14ac:dyDescent="0.25">
      <c r="M562" s="2"/>
    </row>
    <row r="563" spans="13:13" ht="15.75" customHeight="1" x14ac:dyDescent="0.25">
      <c r="M563" s="2"/>
    </row>
    <row r="564" spans="13:13" ht="15.75" customHeight="1" x14ac:dyDescent="0.25">
      <c r="M564" s="2"/>
    </row>
    <row r="565" spans="13:13" ht="15.75" customHeight="1" x14ac:dyDescent="0.25">
      <c r="M565" s="2"/>
    </row>
    <row r="566" spans="13:13" ht="15.75" customHeight="1" x14ac:dyDescent="0.25">
      <c r="M566" s="2"/>
    </row>
    <row r="567" spans="13:13" ht="15.75" customHeight="1" x14ac:dyDescent="0.25">
      <c r="M567" s="2"/>
    </row>
    <row r="568" spans="13:13" ht="15.75" customHeight="1" x14ac:dyDescent="0.25">
      <c r="M568" s="2"/>
    </row>
    <row r="569" spans="13:13" ht="15.75" customHeight="1" x14ac:dyDescent="0.25">
      <c r="M569" s="2"/>
    </row>
    <row r="570" spans="13:13" ht="15.75" customHeight="1" x14ac:dyDescent="0.25">
      <c r="M570" s="2"/>
    </row>
    <row r="571" spans="13:13" ht="15.75" customHeight="1" x14ac:dyDescent="0.25">
      <c r="M571" s="2"/>
    </row>
    <row r="572" spans="13:13" ht="15.75" customHeight="1" x14ac:dyDescent="0.25">
      <c r="M572" s="2"/>
    </row>
    <row r="573" spans="13:13" ht="15.75" customHeight="1" x14ac:dyDescent="0.25">
      <c r="M573" s="2"/>
    </row>
    <row r="574" spans="13:13" ht="15.75" customHeight="1" x14ac:dyDescent="0.25">
      <c r="M574" s="2"/>
    </row>
    <row r="575" spans="13:13" ht="15.75" customHeight="1" x14ac:dyDescent="0.25">
      <c r="M575" s="2"/>
    </row>
    <row r="576" spans="13:13" ht="15.75" customHeight="1" x14ac:dyDescent="0.25">
      <c r="M576" s="2"/>
    </row>
    <row r="577" spans="13:13" ht="15.75" customHeight="1" x14ac:dyDescent="0.25">
      <c r="M577" s="2"/>
    </row>
    <row r="578" spans="13:13" ht="15.75" customHeight="1" x14ac:dyDescent="0.25">
      <c r="M578" s="2"/>
    </row>
    <row r="579" spans="13:13" ht="15.75" customHeight="1" x14ac:dyDescent="0.25">
      <c r="M579" s="2"/>
    </row>
    <row r="580" spans="13:13" ht="15.75" customHeight="1" x14ac:dyDescent="0.25">
      <c r="M580" s="2"/>
    </row>
    <row r="581" spans="13:13" ht="15.75" customHeight="1" x14ac:dyDescent="0.25">
      <c r="M581" s="2"/>
    </row>
    <row r="582" spans="13:13" ht="15.75" customHeight="1" x14ac:dyDescent="0.25">
      <c r="M582" s="2"/>
    </row>
    <row r="583" spans="13:13" ht="15.75" customHeight="1" x14ac:dyDescent="0.25">
      <c r="M583" s="2"/>
    </row>
    <row r="584" spans="13:13" ht="15.75" customHeight="1" x14ac:dyDescent="0.25">
      <c r="M584" s="2"/>
    </row>
    <row r="585" spans="13:13" ht="15.75" customHeight="1" x14ac:dyDescent="0.25">
      <c r="M585" s="2"/>
    </row>
    <row r="586" spans="13:13" ht="15.75" customHeight="1" x14ac:dyDescent="0.25">
      <c r="M586" s="2"/>
    </row>
    <row r="587" spans="13:13" ht="15.75" customHeight="1" x14ac:dyDescent="0.25">
      <c r="M587" s="2"/>
    </row>
    <row r="588" spans="13:13" ht="15.75" customHeight="1" x14ac:dyDescent="0.25">
      <c r="M588" s="2"/>
    </row>
    <row r="589" spans="13:13" ht="15.75" customHeight="1" x14ac:dyDescent="0.25">
      <c r="M589" s="2"/>
    </row>
    <row r="590" spans="13:13" ht="15.75" customHeight="1" x14ac:dyDescent="0.25">
      <c r="M590" s="2"/>
    </row>
    <row r="591" spans="13:13" ht="15.75" customHeight="1" x14ac:dyDescent="0.25">
      <c r="M591" s="2"/>
    </row>
    <row r="592" spans="13:13" ht="15.75" customHeight="1" x14ac:dyDescent="0.25">
      <c r="M592" s="2"/>
    </row>
    <row r="593" spans="13:13" ht="15.75" customHeight="1" x14ac:dyDescent="0.25">
      <c r="M593" s="2"/>
    </row>
    <row r="594" spans="13:13" ht="15.75" customHeight="1" x14ac:dyDescent="0.25">
      <c r="M594" s="2"/>
    </row>
    <row r="595" spans="13:13" ht="15.75" customHeight="1" x14ac:dyDescent="0.25">
      <c r="M595" s="2"/>
    </row>
    <row r="596" spans="13:13" ht="15.75" customHeight="1" x14ac:dyDescent="0.25">
      <c r="M596" s="2"/>
    </row>
    <row r="597" spans="13:13" ht="15.75" customHeight="1" x14ac:dyDescent="0.25">
      <c r="M597" s="2"/>
    </row>
    <row r="598" spans="13:13" ht="15.75" customHeight="1" x14ac:dyDescent="0.25">
      <c r="M598" s="2"/>
    </row>
    <row r="599" spans="13:13" ht="15.75" customHeight="1" x14ac:dyDescent="0.25">
      <c r="M599" s="2"/>
    </row>
    <row r="600" spans="13:13" ht="15.75" customHeight="1" x14ac:dyDescent="0.25">
      <c r="M600" s="2"/>
    </row>
    <row r="601" spans="13:13" ht="15.75" customHeight="1" x14ac:dyDescent="0.25">
      <c r="M601" s="2"/>
    </row>
    <row r="602" spans="13:13" ht="15.75" customHeight="1" x14ac:dyDescent="0.25">
      <c r="M602" s="2"/>
    </row>
    <row r="603" spans="13:13" ht="15.75" customHeight="1" x14ac:dyDescent="0.25">
      <c r="M603" s="2"/>
    </row>
    <row r="604" spans="13:13" ht="15.75" customHeight="1" x14ac:dyDescent="0.25">
      <c r="M604" s="2"/>
    </row>
    <row r="605" spans="13:13" ht="15.75" customHeight="1" x14ac:dyDescent="0.25">
      <c r="M605" s="2"/>
    </row>
    <row r="606" spans="13:13" ht="15.75" customHeight="1" x14ac:dyDescent="0.25">
      <c r="M606" s="2"/>
    </row>
    <row r="607" spans="13:13" ht="15.75" customHeight="1" x14ac:dyDescent="0.25">
      <c r="M607" s="2"/>
    </row>
    <row r="608" spans="13:13" ht="15.75" customHeight="1" x14ac:dyDescent="0.25">
      <c r="M608" s="2"/>
    </row>
    <row r="609" spans="13:13" ht="15.75" customHeight="1" x14ac:dyDescent="0.25">
      <c r="M609" s="2"/>
    </row>
    <row r="610" spans="13:13" ht="15.75" customHeight="1" x14ac:dyDescent="0.25">
      <c r="M610" s="2"/>
    </row>
    <row r="611" spans="13:13" ht="15.75" customHeight="1" x14ac:dyDescent="0.25">
      <c r="M611" s="2"/>
    </row>
    <row r="612" spans="13:13" ht="15.75" customHeight="1" x14ac:dyDescent="0.25">
      <c r="M612" s="2"/>
    </row>
    <row r="613" spans="13:13" ht="15.75" customHeight="1" x14ac:dyDescent="0.25">
      <c r="M613" s="2"/>
    </row>
    <row r="614" spans="13:13" ht="15.75" customHeight="1" x14ac:dyDescent="0.25">
      <c r="M614" s="2"/>
    </row>
    <row r="615" spans="13:13" ht="15.75" customHeight="1" x14ac:dyDescent="0.25">
      <c r="M615" s="2"/>
    </row>
    <row r="616" spans="13:13" ht="15.75" customHeight="1" x14ac:dyDescent="0.25">
      <c r="M616" s="2"/>
    </row>
    <row r="617" spans="13:13" ht="15.75" customHeight="1" x14ac:dyDescent="0.25">
      <c r="M617" s="2"/>
    </row>
    <row r="618" spans="13:13" ht="15.75" customHeight="1" x14ac:dyDescent="0.25">
      <c r="M618" s="2"/>
    </row>
    <row r="619" spans="13:13" ht="15.75" customHeight="1" x14ac:dyDescent="0.25">
      <c r="M619" s="2"/>
    </row>
    <row r="620" spans="13:13" ht="15.75" customHeight="1" x14ac:dyDescent="0.25">
      <c r="M620" s="2"/>
    </row>
    <row r="621" spans="13:13" ht="15.75" customHeight="1" x14ac:dyDescent="0.25">
      <c r="M621" s="2"/>
    </row>
    <row r="622" spans="13:13" ht="15.75" customHeight="1" x14ac:dyDescent="0.25">
      <c r="M622" s="2"/>
    </row>
    <row r="623" spans="13:13" ht="15.75" customHeight="1" x14ac:dyDescent="0.25">
      <c r="M623" s="2"/>
    </row>
    <row r="624" spans="13:13" ht="15.75" customHeight="1" x14ac:dyDescent="0.25">
      <c r="M624" s="2"/>
    </row>
    <row r="625" spans="13:13" ht="15.75" customHeight="1" x14ac:dyDescent="0.25">
      <c r="M625" s="2"/>
    </row>
    <row r="626" spans="13:13" ht="15.75" customHeight="1" x14ac:dyDescent="0.25">
      <c r="M626" s="2"/>
    </row>
    <row r="627" spans="13:13" ht="15.75" customHeight="1" x14ac:dyDescent="0.25">
      <c r="M627" s="2"/>
    </row>
    <row r="628" spans="13:13" ht="15.75" customHeight="1" x14ac:dyDescent="0.25">
      <c r="M628" s="2"/>
    </row>
    <row r="629" spans="13:13" ht="15.75" customHeight="1" x14ac:dyDescent="0.25">
      <c r="M629" s="2"/>
    </row>
    <row r="630" spans="13:13" ht="15.75" customHeight="1" x14ac:dyDescent="0.25">
      <c r="M630" s="2"/>
    </row>
    <row r="631" spans="13:13" ht="15.75" customHeight="1" x14ac:dyDescent="0.25">
      <c r="M631" s="2"/>
    </row>
    <row r="632" spans="13:13" ht="15.75" customHeight="1" x14ac:dyDescent="0.25">
      <c r="M632" s="2"/>
    </row>
    <row r="633" spans="13:13" ht="15.75" customHeight="1" x14ac:dyDescent="0.25">
      <c r="M633" s="2"/>
    </row>
    <row r="634" spans="13:13" ht="15.75" customHeight="1" x14ac:dyDescent="0.25">
      <c r="M634" s="2"/>
    </row>
    <row r="635" spans="13:13" ht="15.75" customHeight="1" x14ac:dyDescent="0.25">
      <c r="M635" s="2"/>
    </row>
    <row r="636" spans="13:13" ht="15.75" customHeight="1" x14ac:dyDescent="0.25">
      <c r="M636" s="2"/>
    </row>
    <row r="637" spans="13:13" ht="15.75" customHeight="1" x14ac:dyDescent="0.25">
      <c r="M637" s="2"/>
    </row>
    <row r="638" spans="13:13" ht="15.75" customHeight="1" x14ac:dyDescent="0.25">
      <c r="M638" s="2"/>
    </row>
    <row r="639" spans="13:13" ht="15.75" customHeight="1" x14ac:dyDescent="0.25">
      <c r="M639" s="2"/>
    </row>
    <row r="640" spans="13:13" ht="15.75" customHeight="1" x14ac:dyDescent="0.25">
      <c r="M640" s="2"/>
    </row>
    <row r="641" spans="13:13" ht="15.75" customHeight="1" x14ac:dyDescent="0.25">
      <c r="M641" s="2"/>
    </row>
    <row r="642" spans="13:13" ht="15.75" customHeight="1" x14ac:dyDescent="0.25">
      <c r="M642" s="2"/>
    </row>
    <row r="643" spans="13:13" ht="15.75" customHeight="1" x14ac:dyDescent="0.25">
      <c r="M643" s="2"/>
    </row>
    <row r="644" spans="13:13" ht="15.75" customHeight="1" x14ac:dyDescent="0.25">
      <c r="M644" s="2"/>
    </row>
    <row r="645" spans="13:13" ht="15.75" customHeight="1" x14ac:dyDescent="0.25">
      <c r="M645" s="2"/>
    </row>
    <row r="646" spans="13:13" ht="15.75" customHeight="1" x14ac:dyDescent="0.25">
      <c r="M646" s="2"/>
    </row>
    <row r="647" spans="13:13" ht="15.75" customHeight="1" x14ac:dyDescent="0.25">
      <c r="M647" s="2"/>
    </row>
    <row r="648" spans="13:13" ht="15.75" customHeight="1" x14ac:dyDescent="0.25">
      <c r="M648" s="2"/>
    </row>
    <row r="649" spans="13:13" ht="15.75" customHeight="1" x14ac:dyDescent="0.25">
      <c r="M649" s="2"/>
    </row>
    <row r="650" spans="13:13" ht="15.75" customHeight="1" x14ac:dyDescent="0.25">
      <c r="M650" s="2"/>
    </row>
    <row r="651" spans="13:13" ht="15.75" customHeight="1" x14ac:dyDescent="0.25">
      <c r="M651" s="2"/>
    </row>
    <row r="652" spans="13:13" ht="15.75" customHeight="1" x14ac:dyDescent="0.25">
      <c r="M652" s="2"/>
    </row>
    <row r="653" spans="13:13" ht="15.75" customHeight="1" x14ac:dyDescent="0.25">
      <c r="M653" s="2"/>
    </row>
    <row r="654" spans="13:13" ht="15.75" customHeight="1" x14ac:dyDescent="0.25">
      <c r="M654" s="2"/>
    </row>
    <row r="655" spans="13:13" ht="15.75" customHeight="1" x14ac:dyDescent="0.25">
      <c r="M655" s="2"/>
    </row>
    <row r="656" spans="13:13" ht="15.75" customHeight="1" x14ac:dyDescent="0.25">
      <c r="M656" s="2"/>
    </row>
    <row r="657" spans="13:13" ht="15.75" customHeight="1" x14ac:dyDescent="0.25">
      <c r="M657" s="2"/>
    </row>
    <row r="658" spans="13:13" ht="15.75" customHeight="1" x14ac:dyDescent="0.25">
      <c r="M658" s="2"/>
    </row>
    <row r="659" spans="13:13" ht="15.75" customHeight="1" x14ac:dyDescent="0.25">
      <c r="M659" s="2"/>
    </row>
    <row r="660" spans="13:13" ht="15.75" customHeight="1" x14ac:dyDescent="0.25">
      <c r="M660" s="2"/>
    </row>
    <row r="661" spans="13:13" ht="15.75" customHeight="1" x14ac:dyDescent="0.25">
      <c r="M661" s="2"/>
    </row>
    <row r="662" spans="13:13" ht="15.75" customHeight="1" x14ac:dyDescent="0.25">
      <c r="M662" s="2"/>
    </row>
    <row r="663" spans="13:13" ht="15.75" customHeight="1" x14ac:dyDescent="0.25">
      <c r="M663" s="2"/>
    </row>
    <row r="664" spans="13:13" ht="15.75" customHeight="1" x14ac:dyDescent="0.25">
      <c r="M664" s="2"/>
    </row>
    <row r="665" spans="13:13" ht="15.75" customHeight="1" x14ac:dyDescent="0.25">
      <c r="M665" s="2"/>
    </row>
    <row r="666" spans="13:13" ht="15.75" customHeight="1" x14ac:dyDescent="0.25">
      <c r="M666" s="2"/>
    </row>
    <row r="667" spans="13:13" ht="15.75" customHeight="1" x14ac:dyDescent="0.25">
      <c r="M667" s="2"/>
    </row>
    <row r="668" spans="13:13" ht="15.75" customHeight="1" x14ac:dyDescent="0.25">
      <c r="M668" s="2"/>
    </row>
    <row r="669" spans="13:13" ht="15.75" customHeight="1" x14ac:dyDescent="0.25">
      <c r="M669" s="2"/>
    </row>
    <row r="670" spans="13:13" ht="15.75" customHeight="1" x14ac:dyDescent="0.25">
      <c r="M670" s="2"/>
    </row>
    <row r="671" spans="13:13" ht="15.75" customHeight="1" x14ac:dyDescent="0.25">
      <c r="M671" s="2"/>
    </row>
    <row r="672" spans="13:13" ht="15.75" customHeight="1" x14ac:dyDescent="0.25">
      <c r="M672" s="2"/>
    </row>
    <row r="673" spans="13:13" ht="15.75" customHeight="1" x14ac:dyDescent="0.25">
      <c r="M673" s="2"/>
    </row>
    <row r="674" spans="13:13" ht="15.75" customHeight="1" x14ac:dyDescent="0.25">
      <c r="M674" s="2"/>
    </row>
    <row r="675" spans="13:13" ht="15.75" customHeight="1" x14ac:dyDescent="0.25">
      <c r="M675" s="2"/>
    </row>
    <row r="676" spans="13:13" ht="15.75" customHeight="1" x14ac:dyDescent="0.25">
      <c r="M676" s="2"/>
    </row>
    <row r="677" spans="13:13" ht="15.75" customHeight="1" x14ac:dyDescent="0.25">
      <c r="M677" s="2"/>
    </row>
    <row r="678" spans="13:13" ht="15.75" customHeight="1" x14ac:dyDescent="0.25">
      <c r="M678" s="2"/>
    </row>
    <row r="679" spans="13:13" ht="15.75" customHeight="1" x14ac:dyDescent="0.25">
      <c r="M679" s="2"/>
    </row>
    <row r="680" spans="13:13" ht="15.75" customHeight="1" x14ac:dyDescent="0.25">
      <c r="M680" s="2"/>
    </row>
    <row r="681" spans="13:13" ht="15.75" customHeight="1" x14ac:dyDescent="0.25">
      <c r="M681" s="2"/>
    </row>
    <row r="682" spans="13:13" ht="15.75" customHeight="1" x14ac:dyDescent="0.25">
      <c r="M682" s="2"/>
    </row>
    <row r="683" spans="13:13" ht="15.75" customHeight="1" x14ac:dyDescent="0.25">
      <c r="M683" s="2"/>
    </row>
    <row r="684" spans="13:13" ht="15.75" customHeight="1" x14ac:dyDescent="0.25">
      <c r="M684" s="2"/>
    </row>
    <row r="685" spans="13:13" ht="15.75" customHeight="1" x14ac:dyDescent="0.25">
      <c r="M685" s="2"/>
    </row>
    <row r="686" spans="13:13" ht="15.75" customHeight="1" x14ac:dyDescent="0.25">
      <c r="M686" s="2"/>
    </row>
    <row r="687" spans="13:13" ht="15.75" customHeight="1" x14ac:dyDescent="0.25">
      <c r="M687" s="2"/>
    </row>
    <row r="688" spans="13:13" ht="15.75" customHeight="1" x14ac:dyDescent="0.25">
      <c r="M688" s="2"/>
    </row>
    <row r="689" spans="13:13" ht="15.75" customHeight="1" x14ac:dyDescent="0.25">
      <c r="M689" s="2"/>
    </row>
    <row r="690" spans="13:13" ht="15.75" customHeight="1" x14ac:dyDescent="0.25">
      <c r="M690" s="2"/>
    </row>
    <row r="691" spans="13:13" ht="15.75" customHeight="1" x14ac:dyDescent="0.25">
      <c r="M691" s="2"/>
    </row>
    <row r="692" spans="13:13" ht="15.75" customHeight="1" x14ac:dyDescent="0.25">
      <c r="M692" s="2"/>
    </row>
    <row r="693" spans="13:13" ht="15.75" customHeight="1" x14ac:dyDescent="0.25">
      <c r="M693" s="2"/>
    </row>
    <row r="694" spans="13:13" ht="15.75" customHeight="1" x14ac:dyDescent="0.25">
      <c r="M694" s="2"/>
    </row>
    <row r="695" spans="13:13" ht="15.75" customHeight="1" x14ac:dyDescent="0.25">
      <c r="M695" s="2"/>
    </row>
    <row r="696" spans="13:13" ht="15.75" customHeight="1" x14ac:dyDescent="0.25">
      <c r="M696" s="2"/>
    </row>
    <row r="697" spans="13:13" ht="15.75" customHeight="1" x14ac:dyDescent="0.25">
      <c r="M697" s="2"/>
    </row>
    <row r="698" spans="13:13" ht="15.75" customHeight="1" x14ac:dyDescent="0.25">
      <c r="M698" s="2"/>
    </row>
    <row r="699" spans="13:13" ht="15.75" customHeight="1" x14ac:dyDescent="0.25">
      <c r="M699" s="2"/>
    </row>
    <row r="700" spans="13:13" ht="15.75" customHeight="1" x14ac:dyDescent="0.25">
      <c r="M700" s="2"/>
    </row>
    <row r="701" spans="13:13" ht="15.75" customHeight="1" x14ac:dyDescent="0.25">
      <c r="M701" s="2"/>
    </row>
    <row r="702" spans="13:13" ht="15.75" customHeight="1" x14ac:dyDescent="0.25">
      <c r="M702" s="2"/>
    </row>
    <row r="703" spans="13:13" ht="15.75" customHeight="1" x14ac:dyDescent="0.25">
      <c r="M703" s="2"/>
    </row>
    <row r="704" spans="13:13" ht="15.75" customHeight="1" x14ac:dyDescent="0.25">
      <c r="M704" s="2"/>
    </row>
    <row r="705" spans="13:13" ht="15.75" customHeight="1" x14ac:dyDescent="0.25">
      <c r="M705" s="2"/>
    </row>
    <row r="706" spans="13:13" ht="15.75" customHeight="1" x14ac:dyDescent="0.25">
      <c r="M706" s="2"/>
    </row>
    <row r="707" spans="13:13" ht="15.75" customHeight="1" x14ac:dyDescent="0.25">
      <c r="M707" s="2"/>
    </row>
    <row r="708" spans="13:13" ht="15.75" customHeight="1" x14ac:dyDescent="0.25">
      <c r="M708" s="2"/>
    </row>
    <row r="709" spans="13:13" ht="15.75" customHeight="1" x14ac:dyDescent="0.25">
      <c r="M709" s="2"/>
    </row>
    <row r="710" spans="13:13" ht="15.75" customHeight="1" x14ac:dyDescent="0.25">
      <c r="M710" s="2"/>
    </row>
    <row r="711" spans="13:13" ht="15.75" customHeight="1" x14ac:dyDescent="0.25">
      <c r="M711" s="2"/>
    </row>
    <row r="712" spans="13:13" ht="15.75" customHeight="1" x14ac:dyDescent="0.25">
      <c r="M712" s="2"/>
    </row>
    <row r="713" spans="13:13" ht="15.75" customHeight="1" x14ac:dyDescent="0.25">
      <c r="M713" s="2"/>
    </row>
    <row r="714" spans="13:13" ht="15.75" customHeight="1" x14ac:dyDescent="0.25">
      <c r="M714" s="2"/>
    </row>
    <row r="715" spans="13:13" ht="15.75" customHeight="1" x14ac:dyDescent="0.25">
      <c r="M715" s="2"/>
    </row>
    <row r="716" spans="13:13" ht="15.75" customHeight="1" x14ac:dyDescent="0.25">
      <c r="M716" s="2"/>
    </row>
    <row r="717" spans="13:13" ht="15.75" customHeight="1" x14ac:dyDescent="0.25">
      <c r="M717" s="2"/>
    </row>
    <row r="718" spans="13:13" ht="15.75" customHeight="1" x14ac:dyDescent="0.25">
      <c r="M718" s="2"/>
    </row>
    <row r="719" spans="13:13" ht="15.75" customHeight="1" x14ac:dyDescent="0.25">
      <c r="M719" s="2"/>
    </row>
    <row r="720" spans="13:13" ht="15.75" customHeight="1" x14ac:dyDescent="0.25">
      <c r="M720" s="2"/>
    </row>
    <row r="721" spans="13:13" ht="15.75" customHeight="1" x14ac:dyDescent="0.25">
      <c r="M721" s="2"/>
    </row>
    <row r="722" spans="13:13" ht="15.75" customHeight="1" x14ac:dyDescent="0.25">
      <c r="M722" s="2"/>
    </row>
    <row r="723" spans="13:13" ht="15.75" customHeight="1" x14ac:dyDescent="0.25">
      <c r="M723" s="2"/>
    </row>
    <row r="724" spans="13:13" ht="15.75" customHeight="1" x14ac:dyDescent="0.25">
      <c r="M724" s="2"/>
    </row>
    <row r="725" spans="13:13" ht="15.75" customHeight="1" x14ac:dyDescent="0.25">
      <c r="M725" s="2"/>
    </row>
    <row r="726" spans="13:13" ht="15.75" customHeight="1" x14ac:dyDescent="0.25">
      <c r="M726" s="2"/>
    </row>
    <row r="727" spans="13:13" ht="15.75" customHeight="1" x14ac:dyDescent="0.25">
      <c r="M727" s="2"/>
    </row>
    <row r="728" spans="13:13" ht="15.75" customHeight="1" x14ac:dyDescent="0.25">
      <c r="M728" s="2"/>
    </row>
    <row r="729" spans="13:13" ht="15.75" customHeight="1" x14ac:dyDescent="0.25">
      <c r="M729" s="2"/>
    </row>
    <row r="730" spans="13:13" ht="15.75" customHeight="1" x14ac:dyDescent="0.25">
      <c r="M730" s="2"/>
    </row>
    <row r="731" spans="13:13" ht="15.75" customHeight="1" x14ac:dyDescent="0.25">
      <c r="M731" s="2"/>
    </row>
    <row r="732" spans="13:13" ht="15.75" customHeight="1" x14ac:dyDescent="0.25">
      <c r="M732" s="2"/>
    </row>
    <row r="733" spans="13:13" ht="15.75" customHeight="1" x14ac:dyDescent="0.25">
      <c r="M733" s="2"/>
    </row>
    <row r="734" spans="13:13" ht="15.75" customHeight="1" x14ac:dyDescent="0.25">
      <c r="M734" s="2"/>
    </row>
    <row r="735" spans="13:13" ht="15.75" customHeight="1" x14ac:dyDescent="0.25">
      <c r="M735" s="2"/>
    </row>
    <row r="736" spans="13:13" ht="15.75" customHeight="1" x14ac:dyDescent="0.25">
      <c r="M736" s="2"/>
    </row>
    <row r="737" spans="13:13" ht="15.75" customHeight="1" x14ac:dyDescent="0.25">
      <c r="M737" s="2"/>
    </row>
    <row r="738" spans="13:13" ht="15.75" customHeight="1" x14ac:dyDescent="0.25">
      <c r="M738" s="2"/>
    </row>
    <row r="739" spans="13:13" ht="15.75" customHeight="1" x14ac:dyDescent="0.25">
      <c r="M739" s="2"/>
    </row>
    <row r="740" spans="13:13" ht="15.75" customHeight="1" x14ac:dyDescent="0.25">
      <c r="M740" s="2"/>
    </row>
    <row r="741" spans="13:13" ht="15.75" customHeight="1" x14ac:dyDescent="0.25">
      <c r="M741" s="2"/>
    </row>
    <row r="742" spans="13:13" ht="15.75" customHeight="1" x14ac:dyDescent="0.25">
      <c r="M742" s="2"/>
    </row>
    <row r="743" spans="13:13" ht="15.75" customHeight="1" x14ac:dyDescent="0.25">
      <c r="M743" s="2"/>
    </row>
    <row r="744" spans="13:13" ht="15.75" customHeight="1" x14ac:dyDescent="0.25">
      <c r="M744" s="2"/>
    </row>
    <row r="745" spans="13:13" ht="15.75" customHeight="1" x14ac:dyDescent="0.25">
      <c r="M745" s="2"/>
    </row>
    <row r="746" spans="13:13" ht="15.75" customHeight="1" x14ac:dyDescent="0.25">
      <c r="M746" s="2"/>
    </row>
    <row r="747" spans="13:13" ht="15.75" customHeight="1" x14ac:dyDescent="0.25">
      <c r="M747" s="2"/>
    </row>
    <row r="748" spans="13:13" ht="15.75" customHeight="1" x14ac:dyDescent="0.25">
      <c r="M748" s="2"/>
    </row>
    <row r="749" spans="13:13" ht="15.75" customHeight="1" x14ac:dyDescent="0.25">
      <c r="M749" s="2"/>
    </row>
    <row r="750" spans="13:13" ht="15.75" customHeight="1" x14ac:dyDescent="0.25">
      <c r="M750" s="2"/>
    </row>
    <row r="751" spans="13:13" ht="15.75" customHeight="1" x14ac:dyDescent="0.25">
      <c r="M751" s="2"/>
    </row>
    <row r="752" spans="13:13" ht="15.75" customHeight="1" x14ac:dyDescent="0.25">
      <c r="M752" s="2"/>
    </row>
    <row r="753" spans="13:13" ht="15.75" customHeight="1" x14ac:dyDescent="0.25">
      <c r="M753" s="2"/>
    </row>
    <row r="754" spans="13:13" ht="15.75" customHeight="1" x14ac:dyDescent="0.25">
      <c r="M754" s="2"/>
    </row>
    <row r="755" spans="13:13" ht="15.75" customHeight="1" x14ac:dyDescent="0.25">
      <c r="M755" s="2"/>
    </row>
    <row r="756" spans="13:13" ht="15.75" customHeight="1" x14ac:dyDescent="0.25">
      <c r="M756" s="2"/>
    </row>
    <row r="757" spans="13:13" ht="15.75" customHeight="1" x14ac:dyDescent="0.25">
      <c r="M757" s="2"/>
    </row>
    <row r="758" spans="13:13" ht="15.75" customHeight="1" x14ac:dyDescent="0.25">
      <c r="M758" s="2"/>
    </row>
    <row r="759" spans="13:13" ht="15.75" customHeight="1" x14ac:dyDescent="0.25">
      <c r="M759" s="2"/>
    </row>
    <row r="760" spans="13:13" ht="15.75" customHeight="1" x14ac:dyDescent="0.25">
      <c r="M760" s="2"/>
    </row>
    <row r="761" spans="13:13" ht="15.75" customHeight="1" x14ac:dyDescent="0.25">
      <c r="M761" s="2"/>
    </row>
    <row r="762" spans="13:13" ht="15.75" customHeight="1" x14ac:dyDescent="0.25">
      <c r="M762" s="2"/>
    </row>
    <row r="763" spans="13:13" ht="15.75" customHeight="1" x14ac:dyDescent="0.25">
      <c r="M763" s="2"/>
    </row>
    <row r="764" spans="13:13" ht="15.75" customHeight="1" x14ac:dyDescent="0.25">
      <c r="M764" s="2"/>
    </row>
    <row r="765" spans="13:13" ht="15.75" customHeight="1" x14ac:dyDescent="0.25">
      <c r="M765" s="2"/>
    </row>
    <row r="766" spans="13:13" ht="15.75" customHeight="1" x14ac:dyDescent="0.25">
      <c r="M766" s="2"/>
    </row>
    <row r="767" spans="13:13" ht="15.75" customHeight="1" x14ac:dyDescent="0.25">
      <c r="M767" s="2"/>
    </row>
    <row r="768" spans="13:13" ht="15.75" customHeight="1" x14ac:dyDescent="0.25">
      <c r="M768" s="2"/>
    </row>
    <row r="769" spans="13:13" ht="15.75" customHeight="1" x14ac:dyDescent="0.25">
      <c r="M769" s="2"/>
    </row>
    <row r="770" spans="13:13" ht="15.75" customHeight="1" x14ac:dyDescent="0.25">
      <c r="M770" s="2"/>
    </row>
    <row r="771" spans="13:13" ht="15.75" customHeight="1" x14ac:dyDescent="0.25">
      <c r="M771" s="2"/>
    </row>
    <row r="772" spans="13:13" ht="15.75" customHeight="1" x14ac:dyDescent="0.25">
      <c r="M772" s="2"/>
    </row>
    <row r="773" spans="13:13" ht="15.75" customHeight="1" x14ac:dyDescent="0.25">
      <c r="M773" s="2"/>
    </row>
    <row r="774" spans="13:13" ht="15.75" customHeight="1" x14ac:dyDescent="0.25">
      <c r="M774" s="2"/>
    </row>
    <row r="775" spans="13:13" ht="15.75" customHeight="1" x14ac:dyDescent="0.25">
      <c r="M775" s="2"/>
    </row>
    <row r="776" spans="13:13" ht="15.75" customHeight="1" x14ac:dyDescent="0.25">
      <c r="M776" s="2"/>
    </row>
    <row r="777" spans="13:13" ht="15.75" customHeight="1" x14ac:dyDescent="0.25">
      <c r="M777" s="2"/>
    </row>
    <row r="778" spans="13:13" ht="15.75" customHeight="1" x14ac:dyDescent="0.25">
      <c r="M778" s="2"/>
    </row>
    <row r="779" spans="13:13" ht="15.75" customHeight="1" x14ac:dyDescent="0.25">
      <c r="M779" s="2"/>
    </row>
    <row r="780" spans="13:13" ht="15.75" customHeight="1" x14ac:dyDescent="0.25">
      <c r="M780" s="2"/>
    </row>
    <row r="781" spans="13:13" ht="15.75" customHeight="1" x14ac:dyDescent="0.25">
      <c r="M781" s="2"/>
    </row>
    <row r="782" spans="13:13" ht="15.75" customHeight="1" x14ac:dyDescent="0.25">
      <c r="M782" s="2"/>
    </row>
    <row r="783" spans="13:13" ht="15.75" customHeight="1" x14ac:dyDescent="0.25">
      <c r="M783" s="2"/>
    </row>
    <row r="784" spans="13:13" ht="15.75" customHeight="1" x14ac:dyDescent="0.25">
      <c r="M784" s="2"/>
    </row>
    <row r="785" spans="13:13" ht="15.75" customHeight="1" x14ac:dyDescent="0.25">
      <c r="M785" s="2"/>
    </row>
    <row r="786" spans="13:13" ht="15.75" customHeight="1" x14ac:dyDescent="0.25">
      <c r="M786" s="2"/>
    </row>
    <row r="787" spans="13:13" ht="15.75" customHeight="1" x14ac:dyDescent="0.25">
      <c r="M787" s="2"/>
    </row>
    <row r="788" spans="13:13" ht="15.75" customHeight="1" x14ac:dyDescent="0.25">
      <c r="M788" s="2"/>
    </row>
    <row r="789" spans="13:13" ht="15.75" customHeight="1" x14ac:dyDescent="0.25">
      <c r="M789" s="2"/>
    </row>
    <row r="790" spans="13:13" ht="15.75" customHeight="1" x14ac:dyDescent="0.25">
      <c r="M790" s="2"/>
    </row>
    <row r="791" spans="13:13" ht="15.75" customHeight="1" x14ac:dyDescent="0.25">
      <c r="M791" s="2"/>
    </row>
    <row r="792" spans="13:13" ht="15.75" customHeight="1" x14ac:dyDescent="0.25">
      <c r="M792" s="2"/>
    </row>
    <row r="793" spans="13:13" ht="15.75" customHeight="1" x14ac:dyDescent="0.25">
      <c r="M793" s="2"/>
    </row>
    <row r="794" spans="13:13" ht="15.75" customHeight="1" x14ac:dyDescent="0.25">
      <c r="M794" s="2"/>
    </row>
    <row r="795" spans="13:13" ht="15.75" customHeight="1" x14ac:dyDescent="0.25">
      <c r="M795" s="2"/>
    </row>
    <row r="796" spans="13:13" ht="15.75" customHeight="1" x14ac:dyDescent="0.25">
      <c r="M796" s="2"/>
    </row>
    <row r="797" spans="13:13" ht="15.75" customHeight="1" x14ac:dyDescent="0.25">
      <c r="M797" s="2"/>
    </row>
    <row r="798" spans="13:13" ht="15.75" customHeight="1" x14ac:dyDescent="0.25">
      <c r="M798" s="2"/>
    </row>
    <row r="799" spans="13:13" ht="15.75" customHeight="1" x14ac:dyDescent="0.25">
      <c r="M799" s="2"/>
    </row>
    <row r="800" spans="13:13" ht="15.75" customHeight="1" x14ac:dyDescent="0.25">
      <c r="M800" s="2"/>
    </row>
    <row r="801" spans="13:13" ht="15.75" customHeight="1" x14ac:dyDescent="0.25">
      <c r="M801" s="2"/>
    </row>
    <row r="802" spans="13:13" ht="15.75" customHeight="1" x14ac:dyDescent="0.25">
      <c r="M802" s="2"/>
    </row>
    <row r="803" spans="13:13" ht="15.75" customHeight="1" x14ac:dyDescent="0.25">
      <c r="M803" s="2"/>
    </row>
    <row r="804" spans="13:13" ht="15.75" customHeight="1" x14ac:dyDescent="0.25">
      <c r="M804" s="2"/>
    </row>
    <row r="805" spans="13:13" ht="15.75" customHeight="1" x14ac:dyDescent="0.25">
      <c r="M805" s="2"/>
    </row>
    <row r="806" spans="13:13" ht="15.75" customHeight="1" x14ac:dyDescent="0.25">
      <c r="M806" s="2"/>
    </row>
    <row r="807" spans="13:13" ht="15.75" customHeight="1" x14ac:dyDescent="0.25">
      <c r="M807" s="2"/>
    </row>
    <row r="808" spans="13:13" ht="15.75" customHeight="1" x14ac:dyDescent="0.25">
      <c r="M808" s="2"/>
    </row>
    <row r="809" spans="13:13" ht="15.75" customHeight="1" x14ac:dyDescent="0.25">
      <c r="M809" s="2"/>
    </row>
    <row r="810" spans="13:13" ht="15.75" customHeight="1" x14ac:dyDescent="0.25">
      <c r="M810" s="2"/>
    </row>
    <row r="811" spans="13:13" ht="15.75" customHeight="1" x14ac:dyDescent="0.25">
      <c r="M811" s="2"/>
    </row>
    <row r="812" spans="13:13" ht="15.75" customHeight="1" x14ac:dyDescent="0.25">
      <c r="M812" s="2"/>
    </row>
    <row r="813" spans="13:13" ht="15.75" customHeight="1" x14ac:dyDescent="0.25">
      <c r="M813" s="2"/>
    </row>
    <row r="814" spans="13:13" ht="15.75" customHeight="1" x14ac:dyDescent="0.25">
      <c r="M814" s="2"/>
    </row>
    <row r="815" spans="13:13" ht="15.75" customHeight="1" x14ac:dyDescent="0.25">
      <c r="M815" s="2"/>
    </row>
    <row r="816" spans="13:13" ht="15.75" customHeight="1" x14ac:dyDescent="0.25">
      <c r="M816" s="2"/>
    </row>
    <row r="817" spans="13:13" ht="15.75" customHeight="1" x14ac:dyDescent="0.25">
      <c r="M817" s="2"/>
    </row>
    <row r="818" spans="13:13" ht="15.75" customHeight="1" x14ac:dyDescent="0.25">
      <c r="M818" s="2"/>
    </row>
    <row r="819" spans="13:13" ht="15.75" customHeight="1" x14ac:dyDescent="0.25">
      <c r="M819" s="2"/>
    </row>
    <row r="820" spans="13:13" ht="15.75" customHeight="1" x14ac:dyDescent="0.25">
      <c r="M820" s="2"/>
    </row>
    <row r="821" spans="13:13" ht="15.75" customHeight="1" x14ac:dyDescent="0.25">
      <c r="M821" s="2"/>
    </row>
    <row r="822" spans="13:13" ht="15.75" customHeight="1" x14ac:dyDescent="0.25">
      <c r="M822" s="2"/>
    </row>
    <row r="823" spans="13:13" ht="15.75" customHeight="1" x14ac:dyDescent="0.25">
      <c r="M823" s="2"/>
    </row>
    <row r="824" spans="13:13" ht="15.75" customHeight="1" x14ac:dyDescent="0.25">
      <c r="M824" s="2"/>
    </row>
    <row r="825" spans="13:13" ht="15.75" customHeight="1" x14ac:dyDescent="0.25">
      <c r="M825" s="2"/>
    </row>
    <row r="826" spans="13:13" ht="15.75" customHeight="1" x14ac:dyDescent="0.25">
      <c r="M826" s="2"/>
    </row>
    <row r="827" spans="13:13" ht="15.75" customHeight="1" x14ac:dyDescent="0.25">
      <c r="M827" s="2"/>
    </row>
    <row r="828" spans="13:13" ht="15.75" customHeight="1" x14ac:dyDescent="0.25">
      <c r="M828" s="2"/>
    </row>
    <row r="829" spans="13:13" ht="15.75" customHeight="1" x14ac:dyDescent="0.25">
      <c r="M829" s="2"/>
    </row>
    <row r="830" spans="13:13" ht="15.75" customHeight="1" x14ac:dyDescent="0.25">
      <c r="M830" s="2"/>
    </row>
    <row r="831" spans="13:13" ht="15.75" customHeight="1" x14ac:dyDescent="0.25">
      <c r="M831" s="2"/>
    </row>
    <row r="832" spans="13:13" ht="15.75" customHeight="1" x14ac:dyDescent="0.25">
      <c r="M832" s="2"/>
    </row>
    <row r="833" spans="13:13" ht="15.75" customHeight="1" x14ac:dyDescent="0.25">
      <c r="M833" s="2"/>
    </row>
    <row r="834" spans="13:13" ht="15.75" customHeight="1" x14ac:dyDescent="0.25">
      <c r="M834" s="2"/>
    </row>
    <row r="835" spans="13:13" ht="15.75" customHeight="1" x14ac:dyDescent="0.25">
      <c r="M835" s="2"/>
    </row>
    <row r="836" spans="13:13" ht="15.75" customHeight="1" x14ac:dyDescent="0.25">
      <c r="M836" s="2"/>
    </row>
    <row r="837" spans="13:13" ht="15.75" customHeight="1" x14ac:dyDescent="0.25">
      <c r="M837" s="2"/>
    </row>
    <row r="838" spans="13:13" ht="15.75" customHeight="1" x14ac:dyDescent="0.25">
      <c r="M838" s="2"/>
    </row>
    <row r="839" spans="13:13" ht="15.75" customHeight="1" x14ac:dyDescent="0.25">
      <c r="M839" s="2"/>
    </row>
    <row r="840" spans="13:13" ht="15.75" customHeight="1" x14ac:dyDescent="0.25">
      <c r="M840" s="2"/>
    </row>
    <row r="841" spans="13:13" ht="15.75" customHeight="1" x14ac:dyDescent="0.25">
      <c r="M841" s="2"/>
    </row>
    <row r="842" spans="13:13" ht="15.75" customHeight="1" x14ac:dyDescent="0.25">
      <c r="M842" s="2"/>
    </row>
    <row r="843" spans="13:13" ht="15.75" customHeight="1" x14ac:dyDescent="0.25">
      <c r="M843" s="2"/>
    </row>
    <row r="844" spans="13:13" ht="15.75" customHeight="1" x14ac:dyDescent="0.25">
      <c r="M844" s="2"/>
    </row>
    <row r="845" spans="13:13" ht="15.75" customHeight="1" x14ac:dyDescent="0.25">
      <c r="M845" s="2"/>
    </row>
    <row r="846" spans="13:13" ht="15.75" customHeight="1" x14ac:dyDescent="0.25">
      <c r="M846" s="2"/>
    </row>
    <row r="847" spans="13:13" ht="15.75" customHeight="1" x14ac:dyDescent="0.25">
      <c r="M847" s="2"/>
    </row>
    <row r="848" spans="13:13" ht="15.75" customHeight="1" x14ac:dyDescent="0.25">
      <c r="M848" s="2"/>
    </row>
    <row r="849" spans="13:13" ht="15.75" customHeight="1" x14ac:dyDescent="0.25">
      <c r="M849" s="2"/>
    </row>
    <row r="850" spans="13:13" ht="15.75" customHeight="1" x14ac:dyDescent="0.25">
      <c r="M850" s="2"/>
    </row>
    <row r="851" spans="13:13" ht="15.75" customHeight="1" x14ac:dyDescent="0.25">
      <c r="M851" s="2"/>
    </row>
    <row r="852" spans="13:13" ht="15.75" customHeight="1" x14ac:dyDescent="0.25">
      <c r="M852" s="2"/>
    </row>
    <row r="853" spans="13:13" ht="15.75" customHeight="1" x14ac:dyDescent="0.25">
      <c r="M853" s="2"/>
    </row>
    <row r="854" spans="13:13" ht="15.75" customHeight="1" x14ac:dyDescent="0.25">
      <c r="M854" s="2"/>
    </row>
    <row r="855" spans="13:13" ht="15.75" customHeight="1" x14ac:dyDescent="0.25">
      <c r="M855" s="2"/>
    </row>
    <row r="856" spans="13:13" ht="15.75" customHeight="1" x14ac:dyDescent="0.25">
      <c r="M856" s="2"/>
    </row>
    <row r="857" spans="13:13" ht="15.75" customHeight="1" x14ac:dyDescent="0.25">
      <c r="M857" s="2"/>
    </row>
    <row r="858" spans="13:13" ht="15.75" customHeight="1" x14ac:dyDescent="0.25">
      <c r="M858" s="2"/>
    </row>
    <row r="859" spans="13:13" ht="15.75" customHeight="1" x14ac:dyDescent="0.25">
      <c r="M859" s="2"/>
    </row>
    <row r="860" spans="13:13" ht="15.75" customHeight="1" x14ac:dyDescent="0.25">
      <c r="M860" s="2"/>
    </row>
    <row r="861" spans="13:13" ht="15.75" customHeight="1" x14ac:dyDescent="0.25">
      <c r="M861" s="2"/>
    </row>
    <row r="862" spans="13:13" ht="15.75" customHeight="1" x14ac:dyDescent="0.25">
      <c r="M862" s="2"/>
    </row>
    <row r="863" spans="13:13" ht="15.75" customHeight="1" x14ac:dyDescent="0.25">
      <c r="M863" s="2"/>
    </row>
    <row r="864" spans="13:13" ht="15.75" customHeight="1" x14ac:dyDescent="0.25">
      <c r="M864" s="2"/>
    </row>
    <row r="865" spans="13:13" ht="15.75" customHeight="1" x14ac:dyDescent="0.25">
      <c r="M865" s="2"/>
    </row>
    <row r="866" spans="13:13" ht="15.75" customHeight="1" x14ac:dyDescent="0.25">
      <c r="M866" s="2"/>
    </row>
    <row r="867" spans="13:13" ht="15.75" customHeight="1" x14ac:dyDescent="0.25">
      <c r="M867" s="2"/>
    </row>
    <row r="868" spans="13:13" ht="15.75" customHeight="1" x14ac:dyDescent="0.25">
      <c r="M868" s="2"/>
    </row>
    <row r="869" spans="13:13" ht="15.75" customHeight="1" x14ac:dyDescent="0.25">
      <c r="M869" s="2"/>
    </row>
    <row r="870" spans="13:13" ht="15.75" customHeight="1" x14ac:dyDescent="0.25">
      <c r="M870" s="2"/>
    </row>
    <row r="871" spans="13:13" ht="15.75" customHeight="1" x14ac:dyDescent="0.25">
      <c r="M871" s="2"/>
    </row>
    <row r="872" spans="13:13" ht="15.75" customHeight="1" x14ac:dyDescent="0.25">
      <c r="M872" s="2"/>
    </row>
    <row r="873" spans="13:13" ht="15.75" customHeight="1" x14ac:dyDescent="0.25">
      <c r="M873" s="2"/>
    </row>
    <row r="874" spans="13:13" ht="15.75" customHeight="1" x14ac:dyDescent="0.25">
      <c r="M874" s="2"/>
    </row>
    <row r="875" spans="13:13" ht="15.75" customHeight="1" x14ac:dyDescent="0.25">
      <c r="M875" s="2"/>
    </row>
    <row r="876" spans="13:13" ht="15.75" customHeight="1" x14ac:dyDescent="0.25">
      <c r="M876" s="2"/>
    </row>
    <row r="877" spans="13:13" ht="15.75" customHeight="1" x14ac:dyDescent="0.25">
      <c r="M877" s="2"/>
    </row>
    <row r="878" spans="13:13" ht="15.75" customHeight="1" x14ac:dyDescent="0.25">
      <c r="M878" s="2"/>
    </row>
    <row r="879" spans="13:13" ht="15.75" customHeight="1" x14ac:dyDescent="0.25">
      <c r="M879" s="2"/>
    </row>
    <row r="880" spans="13:13" ht="15.75" customHeight="1" x14ac:dyDescent="0.25">
      <c r="M880" s="2"/>
    </row>
    <row r="881" spans="13:13" ht="15.75" customHeight="1" x14ac:dyDescent="0.25">
      <c r="M881" s="2"/>
    </row>
    <row r="882" spans="13:13" ht="15.75" customHeight="1" x14ac:dyDescent="0.25">
      <c r="M882" s="2"/>
    </row>
    <row r="883" spans="13:13" ht="15.75" customHeight="1" x14ac:dyDescent="0.25">
      <c r="M883" s="2"/>
    </row>
    <row r="884" spans="13:13" ht="15.75" customHeight="1" x14ac:dyDescent="0.25">
      <c r="M884" s="2"/>
    </row>
    <row r="885" spans="13:13" ht="15.75" customHeight="1" x14ac:dyDescent="0.25">
      <c r="M885" s="2"/>
    </row>
    <row r="886" spans="13:13" ht="15.75" customHeight="1" x14ac:dyDescent="0.25">
      <c r="M886" s="2"/>
    </row>
    <row r="887" spans="13:13" ht="15.75" customHeight="1" x14ac:dyDescent="0.25">
      <c r="M887" s="2"/>
    </row>
    <row r="888" spans="13:13" ht="15.75" customHeight="1" x14ac:dyDescent="0.25">
      <c r="M888" s="2"/>
    </row>
    <row r="889" spans="13:13" ht="15.75" customHeight="1" x14ac:dyDescent="0.25">
      <c r="M889" s="2"/>
    </row>
    <row r="890" spans="13:13" ht="15.75" customHeight="1" x14ac:dyDescent="0.25">
      <c r="M890" s="2"/>
    </row>
    <row r="891" spans="13:13" ht="15.75" customHeight="1" x14ac:dyDescent="0.25">
      <c r="M891" s="2"/>
    </row>
    <row r="892" spans="13:13" ht="15.75" customHeight="1" x14ac:dyDescent="0.25">
      <c r="M892" s="2"/>
    </row>
    <row r="893" spans="13:13" ht="15.75" customHeight="1" x14ac:dyDescent="0.25">
      <c r="M893" s="2"/>
    </row>
    <row r="894" spans="13:13" ht="15.75" customHeight="1" x14ac:dyDescent="0.25">
      <c r="M894" s="2"/>
    </row>
    <row r="895" spans="13:13" ht="15.75" customHeight="1" x14ac:dyDescent="0.25">
      <c r="M895" s="2"/>
    </row>
    <row r="896" spans="13:13" ht="15.75" customHeight="1" x14ac:dyDescent="0.25">
      <c r="M896" s="2"/>
    </row>
    <row r="897" spans="13:13" ht="15.75" customHeight="1" x14ac:dyDescent="0.25">
      <c r="M897" s="2"/>
    </row>
    <row r="898" spans="13:13" ht="15.75" customHeight="1" x14ac:dyDescent="0.25">
      <c r="M898" s="2"/>
    </row>
    <row r="899" spans="13:13" ht="15.75" customHeight="1" x14ac:dyDescent="0.25">
      <c r="M899" s="2"/>
    </row>
    <row r="900" spans="13:13" ht="15.75" customHeight="1" x14ac:dyDescent="0.25">
      <c r="M900" s="2"/>
    </row>
    <row r="901" spans="13:13" ht="15.75" customHeight="1" x14ac:dyDescent="0.25">
      <c r="M901" s="2"/>
    </row>
    <row r="902" spans="13:13" ht="15.75" customHeight="1" x14ac:dyDescent="0.25">
      <c r="M902" s="2"/>
    </row>
    <row r="903" spans="13:13" ht="15.75" customHeight="1" x14ac:dyDescent="0.25">
      <c r="M903" s="2"/>
    </row>
    <row r="904" spans="13:13" ht="15.75" customHeight="1" x14ac:dyDescent="0.25">
      <c r="M904" s="2"/>
    </row>
    <row r="905" spans="13:13" ht="15.75" customHeight="1" x14ac:dyDescent="0.25">
      <c r="M905" s="2"/>
    </row>
    <row r="906" spans="13:13" ht="15.75" customHeight="1" x14ac:dyDescent="0.25">
      <c r="M906" s="2"/>
    </row>
    <row r="907" spans="13:13" ht="15.75" customHeight="1" x14ac:dyDescent="0.25">
      <c r="M907" s="2"/>
    </row>
    <row r="908" spans="13:13" ht="15.75" customHeight="1" x14ac:dyDescent="0.25">
      <c r="M908" s="2"/>
    </row>
    <row r="909" spans="13:13" ht="15.75" customHeight="1" x14ac:dyDescent="0.25">
      <c r="M909" s="2"/>
    </row>
    <row r="910" spans="13:13" ht="15.75" customHeight="1" x14ac:dyDescent="0.25">
      <c r="M910" s="2"/>
    </row>
    <row r="911" spans="13:13" ht="15.75" customHeight="1" x14ac:dyDescent="0.25">
      <c r="M911" s="2"/>
    </row>
    <row r="912" spans="13:13" ht="15.75" customHeight="1" x14ac:dyDescent="0.25">
      <c r="M912" s="2"/>
    </row>
    <row r="913" spans="13:13" ht="15.75" customHeight="1" x14ac:dyDescent="0.25">
      <c r="M913" s="2"/>
    </row>
    <row r="914" spans="13:13" ht="15.75" customHeight="1" x14ac:dyDescent="0.25">
      <c r="M914" s="2"/>
    </row>
    <row r="915" spans="13:13" ht="15.75" customHeight="1" x14ac:dyDescent="0.25">
      <c r="M915" s="2"/>
    </row>
    <row r="916" spans="13:13" ht="15.75" customHeight="1" x14ac:dyDescent="0.25">
      <c r="M916" s="2"/>
    </row>
    <row r="917" spans="13:13" ht="15.75" customHeight="1" x14ac:dyDescent="0.25">
      <c r="M917" s="2"/>
    </row>
    <row r="918" spans="13:13" ht="15.75" customHeight="1" x14ac:dyDescent="0.25">
      <c r="M918" s="2"/>
    </row>
    <row r="919" spans="13:13" ht="15.75" customHeight="1" x14ac:dyDescent="0.25">
      <c r="M919" s="2"/>
    </row>
    <row r="920" spans="13:13" ht="15.75" customHeight="1" x14ac:dyDescent="0.25">
      <c r="M920" s="2"/>
    </row>
    <row r="921" spans="13:13" ht="15.75" customHeight="1" x14ac:dyDescent="0.25">
      <c r="M921" s="2"/>
    </row>
    <row r="922" spans="13:13" ht="15.75" customHeight="1" x14ac:dyDescent="0.25">
      <c r="M922" s="2"/>
    </row>
    <row r="923" spans="13:13" ht="15.75" customHeight="1" x14ac:dyDescent="0.25">
      <c r="M923" s="2"/>
    </row>
    <row r="924" spans="13:13" ht="15.75" customHeight="1" x14ac:dyDescent="0.25">
      <c r="M924" s="2"/>
    </row>
    <row r="925" spans="13:13" ht="15.75" customHeight="1" x14ac:dyDescent="0.25">
      <c r="M925" s="2"/>
    </row>
    <row r="926" spans="13:13" ht="15.75" customHeight="1" x14ac:dyDescent="0.25">
      <c r="M926" s="2"/>
    </row>
    <row r="927" spans="13:13" ht="15.75" customHeight="1" x14ac:dyDescent="0.25">
      <c r="M927" s="2"/>
    </row>
    <row r="928" spans="13:13" ht="15.75" customHeight="1" x14ac:dyDescent="0.25">
      <c r="M928" s="2"/>
    </row>
    <row r="929" spans="13:13" ht="15.75" customHeight="1" x14ac:dyDescent="0.25">
      <c r="M929" s="2"/>
    </row>
    <row r="930" spans="13:13" ht="15.75" customHeight="1" x14ac:dyDescent="0.25">
      <c r="M930" s="2"/>
    </row>
    <row r="931" spans="13:13" ht="15.75" customHeight="1" x14ac:dyDescent="0.25">
      <c r="M931" s="2"/>
    </row>
    <row r="932" spans="13:13" ht="15.75" customHeight="1" x14ac:dyDescent="0.25">
      <c r="M932" s="2"/>
    </row>
    <row r="933" spans="13:13" ht="15.75" customHeight="1" x14ac:dyDescent="0.25">
      <c r="M933" s="2"/>
    </row>
    <row r="934" spans="13:13" ht="15.75" customHeight="1" x14ac:dyDescent="0.25">
      <c r="M934" s="2"/>
    </row>
    <row r="935" spans="13:13" ht="15.75" customHeight="1" x14ac:dyDescent="0.25">
      <c r="M935" s="2"/>
    </row>
    <row r="936" spans="13:13" ht="15.75" customHeight="1" x14ac:dyDescent="0.25">
      <c r="M936" s="2"/>
    </row>
    <row r="937" spans="13:13" ht="15.75" customHeight="1" x14ac:dyDescent="0.25">
      <c r="M937" s="2"/>
    </row>
    <row r="938" spans="13:13" ht="15.75" customHeight="1" x14ac:dyDescent="0.25">
      <c r="M938" s="2"/>
    </row>
    <row r="939" spans="13:13" ht="15.75" customHeight="1" x14ac:dyDescent="0.25">
      <c r="M939" s="2"/>
    </row>
    <row r="940" spans="13:13" ht="15.75" customHeight="1" x14ac:dyDescent="0.25">
      <c r="M940" s="2"/>
    </row>
    <row r="941" spans="13:13" ht="15.75" customHeight="1" x14ac:dyDescent="0.25">
      <c r="M941" s="2"/>
    </row>
    <row r="942" spans="13:13" ht="15.75" customHeight="1" x14ac:dyDescent="0.25">
      <c r="M942" s="2"/>
    </row>
    <row r="943" spans="13:13" ht="15.75" customHeight="1" x14ac:dyDescent="0.25">
      <c r="M943" s="2"/>
    </row>
    <row r="944" spans="13:13" ht="15.75" customHeight="1" x14ac:dyDescent="0.25">
      <c r="M944" s="2"/>
    </row>
    <row r="945" spans="13:13" ht="15.75" customHeight="1" x14ac:dyDescent="0.25">
      <c r="M945" s="2"/>
    </row>
    <row r="946" spans="13:13" ht="15.75" customHeight="1" x14ac:dyDescent="0.25">
      <c r="M946" s="2"/>
    </row>
    <row r="947" spans="13:13" ht="15.75" customHeight="1" x14ac:dyDescent="0.25">
      <c r="M947" s="2"/>
    </row>
    <row r="948" spans="13:13" ht="15.75" customHeight="1" x14ac:dyDescent="0.25">
      <c r="M948" s="2"/>
    </row>
    <row r="949" spans="13:13" ht="15.75" customHeight="1" x14ac:dyDescent="0.25">
      <c r="M949" s="2"/>
    </row>
    <row r="950" spans="13:13" ht="15.75" customHeight="1" x14ac:dyDescent="0.25">
      <c r="M950" s="2"/>
    </row>
    <row r="951" spans="13:13" ht="15.75" customHeight="1" x14ac:dyDescent="0.25">
      <c r="M951" s="2"/>
    </row>
    <row r="952" spans="13:13" ht="15.75" customHeight="1" x14ac:dyDescent="0.25">
      <c r="M952" s="2"/>
    </row>
    <row r="953" spans="13:13" ht="15.75" customHeight="1" x14ac:dyDescent="0.25">
      <c r="M953" s="2"/>
    </row>
    <row r="954" spans="13:13" ht="15.75" customHeight="1" x14ac:dyDescent="0.25">
      <c r="M954" s="2"/>
    </row>
    <row r="955" spans="13:13" ht="15.75" customHeight="1" x14ac:dyDescent="0.25">
      <c r="M955" s="2"/>
    </row>
    <row r="956" spans="13:13" ht="15.75" customHeight="1" x14ac:dyDescent="0.25">
      <c r="M956" s="2"/>
    </row>
    <row r="957" spans="13:13" ht="15.75" customHeight="1" x14ac:dyDescent="0.25">
      <c r="M957" s="2"/>
    </row>
    <row r="958" spans="13:13" ht="15.75" customHeight="1" x14ac:dyDescent="0.25">
      <c r="M958" s="2"/>
    </row>
    <row r="959" spans="13:13" ht="15.75" customHeight="1" x14ac:dyDescent="0.25">
      <c r="M959" s="2"/>
    </row>
    <row r="960" spans="13:13" ht="15.75" customHeight="1" x14ac:dyDescent="0.25">
      <c r="M960" s="2"/>
    </row>
    <row r="961" spans="13:13" ht="15.75" customHeight="1" x14ac:dyDescent="0.25">
      <c r="M961" s="2"/>
    </row>
    <row r="962" spans="13:13" ht="15.75" customHeight="1" x14ac:dyDescent="0.25">
      <c r="M962" s="2"/>
    </row>
    <row r="963" spans="13:13" ht="15.75" customHeight="1" x14ac:dyDescent="0.25">
      <c r="M963" s="2"/>
    </row>
    <row r="964" spans="13:13" ht="15.75" customHeight="1" x14ac:dyDescent="0.25">
      <c r="M964" s="2"/>
    </row>
    <row r="965" spans="13:13" ht="15.75" customHeight="1" x14ac:dyDescent="0.25">
      <c r="M965" s="2"/>
    </row>
    <row r="966" spans="13:13" ht="15.75" customHeight="1" x14ac:dyDescent="0.25">
      <c r="M966" s="2"/>
    </row>
    <row r="967" spans="13:13" ht="15.75" customHeight="1" x14ac:dyDescent="0.25">
      <c r="M967" s="2"/>
    </row>
    <row r="968" spans="13:13" ht="15.75" customHeight="1" x14ac:dyDescent="0.25">
      <c r="M968" s="2"/>
    </row>
    <row r="969" spans="13:13" ht="15.75" customHeight="1" x14ac:dyDescent="0.25">
      <c r="M969" s="2"/>
    </row>
    <row r="970" spans="13:13" ht="15.75" customHeight="1" x14ac:dyDescent="0.25">
      <c r="M970" s="2"/>
    </row>
    <row r="971" spans="13:13" ht="15.75" customHeight="1" x14ac:dyDescent="0.25">
      <c r="M971" s="2"/>
    </row>
    <row r="972" spans="13:13" ht="15.75" customHeight="1" x14ac:dyDescent="0.25">
      <c r="M972" s="2"/>
    </row>
    <row r="973" spans="13:13" ht="15.75" customHeight="1" x14ac:dyDescent="0.25">
      <c r="M973" s="2"/>
    </row>
    <row r="974" spans="13:13" ht="15.75" customHeight="1" x14ac:dyDescent="0.25">
      <c r="M974" s="2"/>
    </row>
    <row r="975" spans="13:13" ht="15.75" customHeight="1" x14ac:dyDescent="0.25">
      <c r="M975" s="2"/>
    </row>
    <row r="976" spans="13:13" ht="15.75" customHeight="1" x14ac:dyDescent="0.25">
      <c r="M976" s="2"/>
    </row>
    <row r="977" spans="13:13" ht="15.75" customHeight="1" x14ac:dyDescent="0.25">
      <c r="M977" s="2"/>
    </row>
    <row r="978" spans="13:13" ht="15.75" customHeight="1" x14ac:dyDescent="0.25">
      <c r="M978" s="2"/>
    </row>
    <row r="979" spans="13:13" ht="15.75" customHeight="1" x14ac:dyDescent="0.25">
      <c r="M979" s="2"/>
    </row>
    <row r="980" spans="13:13" ht="15.75" customHeight="1" x14ac:dyDescent="0.25">
      <c r="M980" s="2"/>
    </row>
    <row r="981" spans="13:13" ht="15.75" customHeight="1" x14ac:dyDescent="0.25">
      <c r="M981" s="2"/>
    </row>
    <row r="982" spans="13:13" ht="15.75" customHeight="1" x14ac:dyDescent="0.25">
      <c r="M982" s="2"/>
    </row>
    <row r="983" spans="13:13" ht="15.75" customHeight="1" x14ac:dyDescent="0.25">
      <c r="M983" s="2"/>
    </row>
    <row r="984" spans="13:13" ht="15.75" customHeight="1" x14ac:dyDescent="0.25">
      <c r="M984" s="2"/>
    </row>
    <row r="985" spans="13:13" ht="15.75" customHeight="1" x14ac:dyDescent="0.25">
      <c r="M985" s="2"/>
    </row>
    <row r="986" spans="13:13" ht="15.75" customHeight="1" x14ac:dyDescent="0.25">
      <c r="M986" s="2"/>
    </row>
    <row r="987" spans="13:13" ht="15.75" customHeight="1" x14ac:dyDescent="0.25">
      <c r="M987" s="2"/>
    </row>
    <row r="988" spans="13:13" ht="15.75" customHeight="1" x14ac:dyDescent="0.25">
      <c r="M988" s="2"/>
    </row>
    <row r="989" spans="13:13" ht="15.75" customHeight="1" x14ac:dyDescent="0.25">
      <c r="M989" s="2"/>
    </row>
    <row r="990" spans="13:13" ht="15.75" customHeight="1" x14ac:dyDescent="0.25">
      <c r="M990" s="2"/>
    </row>
    <row r="991" spans="13:13" ht="15.75" customHeight="1" x14ac:dyDescent="0.25">
      <c r="M991" s="2"/>
    </row>
    <row r="992" spans="13:13" ht="15.75" customHeight="1" x14ac:dyDescent="0.25">
      <c r="M992" s="2"/>
    </row>
    <row r="993" spans="13:13" ht="15.75" customHeight="1" x14ac:dyDescent="0.25">
      <c r="M993" s="2"/>
    </row>
    <row r="994" spans="13:13" ht="15.75" customHeight="1" x14ac:dyDescent="0.25">
      <c r="M994" s="2"/>
    </row>
    <row r="995" spans="13:13" ht="15.75" customHeight="1" x14ac:dyDescent="0.25">
      <c r="M995" s="2"/>
    </row>
    <row r="996" spans="13:13" ht="15.75" customHeight="1" x14ac:dyDescent="0.25">
      <c r="M996" s="2"/>
    </row>
    <row r="997" spans="13:13" ht="15.75" customHeight="1" x14ac:dyDescent="0.25">
      <c r="M997" s="2"/>
    </row>
    <row r="998" spans="13:13" ht="15.75" customHeight="1" x14ac:dyDescent="0.25">
      <c r="M998" s="2"/>
    </row>
    <row r="999" spans="13:13" ht="15.75" customHeight="1" x14ac:dyDescent="0.25">
      <c r="M999" s="2"/>
    </row>
    <row r="1000" spans="13:13" ht="15.75" customHeight="1" x14ac:dyDescent="0.25">
      <c r="M1000" s="2"/>
    </row>
  </sheetData>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B16" sqref="B16:B25"/>
    </sheetView>
  </sheetViews>
  <sheetFormatPr defaultColWidth="11.25" defaultRowHeight="15" customHeight="1" x14ac:dyDescent="0.25"/>
  <cols>
    <col min="1" max="1" width="11.125" customWidth="1"/>
    <col min="2" max="2" width="9.625" customWidth="1"/>
    <col min="3" max="3" width="10.875" customWidth="1"/>
    <col min="4" max="4" width="45.625" customWidth="1"/>
    <col min="5" max="5" width="14.75" customWidth="1"/>
    <col min="6" max="6" width="9" hidden="1" customWidth="1"/>
    <col min="7" max="7" width="8" hidden="1" customWidth="1"/>
    <col min="8" max="8" width="14" customWidth="1"/>
    <col min="9" max="9" width="16.625" hidden="1" customWidth="1"/>
    <col min="10" max="11" width="10.875" hidden="1" customWidth="1"/>
    <col min="12" max="13" width="15.5" customWidth="1"/>
    <col min="14" max="14" width="11.125" customWidth="1"/>
    <col min="15" max="26" width="15.125" customWidth="1"/>
  </cols>
  <sheetData>
    <row r="1" spans="1:26" ht="18.75" customHeight="1" x14ac:dyDescent="0.3">
      <c r="A1" s="168" t="s">
        <v>87</v>
      </c>
    </row>
    <row r="2" spans="1:26" ht="15.75" customHeight="1" x14ac:dyDescent="0.25"/>
    <row r="3" spans="1:26" ht="15.75" customHeight="1" x14ac:dyDescent="0.25">
      <c r="H3" s="2"/>
      <c r="I3" t="s">
        <v>89</v>
      </c>
    </row>
    <row r="4" spans="1:26" ht="72.75" customHeight="1" x14ac:dyDescent="0.25">
      <c r="A4" s="14" t="s">
        <v>90</v>
      </c>
      <c r="B4" s="6" t="s">
        <v>6</v>
      </c>
      <c r="C4" s="5" t="s">
        <v>91</v>
      </c>
      <c r="D4" s="5" t="s">
        <v>8</v>
      </c>
      <c r="E4" s="14" t="s">
        <v>92</v>
      </c>
      <c r="F4" s="173" t="s">
        <v>62</v>
      </c>
      <c r="G4" s="173" t="s">
        <v>93</v>
      </c>
      <c r="H4" s="174" t="s">
        <v>101</v>
      </c>
      <c r="I4" s="176" t="s">
        <v>65</v>
      </c>
      <c r="J4" s="174" t="s">
        <v>66</v>
      </c>
      <c r="K4" s="174" t="s">
        <v>67</v>
      </c>
      <c r="L4" s="178" t="s">
        <v>102</v>
      </c>
      <c r="M4" s="7" t="s">
        <v>103</v>
      </c>
    </row>
    <row r="5" spans="1:26" ht="31.5" customHeight="1" x14ac:dyDescent="0.25">
      <c r="A5" s="350">
        <f>SUM(M5:M15)/M26</f>
        <v>0.7788343558282208</v>
      </c>
      <c r="B5" s="344" t="s">
        <v>21</v>
      </c>
      <c r="C5" s="24">
        <v>2</v>
      </c>
      <c r="D5" s="131" t="s">
        <v>22</v>
      </c>
      <c r="E5" s="180">
        <f>'FY18 Average Cost per Client'!C5</f>
        <v>2461622.79</v>
      </c>
      <c r="F5" s="182" t="e">
        <f t="shared" ref="F5:F13" si="0">#REF!/#REF!</f>
        <v>#REF!</v>
      </c>
      <c r="G5" s="184" t="e">
        <f>MROUND(#REF!*'FY18 Allocations'!H5,10000)</f>
        <v>#REF!</v>
      </c>
      <c r="H5" s="185">
        <v>2460000</v>
      </c>
      <c r="I5" s="186"/>
      <c r="J5" s="185"/>
      <c r="K5" s="185"/>
      <c r="L5" s="185">
        <v>2460000</v>
      </c>
      <c r="M5" s="185">
        <f t="shared" ref="M5:M25" si="1">ROUND((H5+L5)/2,2)</f>
        <v>2460000</v>
      </c>
    </row>
    <row r="6" spans="1:26" ht="15.75" customHeight="1" x14ac:dyDescent="0.25">
      <c r="A6" s="342"/>
      <c r="B6" s="342"/>
      <c r="C6" s="34">
        <v>14</v>
      </c>
      <c r="D6" s="39" t="s">
        <v>27</v>
      </c>
      <c r="E6" s="38">
        <f>'FY18 Average Cost per Client'!C6</f>
        <v>0</v>
      </c>
      <c r="F6" s="177" t="e">
        <f t="shared" si="0"/>
        <v>#REF!</v>
      </c>
      <c r="G6" s="179" t="e">
        <f t="shared" ref="G6:G7" si="2">#REF!</f>
        <v>#REF!</v>
      </c>
      <c r="H6" s="175">
        <v>0</v>
      </c>
      <c r="I6" s="189"/>
      <c r="J6" s="175"/>
      <c r="K6" s="175"/>
      <c r="L6" s="175">
        <v>0</v>
      </c>
      <c r="M6" s="175">
        <f t="shared" si="1"/>
        <v>0</v>
      </c>
    </row>
    <row r="7" spans="1:26" ht="15.75" customHeight="1" x14ac:dyDescent="0.25">
      <c r="A7" s="342"/>
      <c r="B7" s="342"/>
      <c r="C7" s="181" t="s">
        <v>104</v>
      </c>
      <c r="D7" s="190" t="s">
        <v>28</v>
      </c>
      <c r="E7" s="191">
        <f>'FY18 Average Cost per Client'!C7</f>
        <v>0</v>
      </c>
      <c r="F7" s="183" t="e">
        <f t="shared" si="0"/>
        <v>#REF!</v>
      </c>
      <c r="G7" s="103" t="e">
        <f t="shared" si="2"/>
        <v>#REF!</v>
      </c>
      <c r="H7" s="103">
        <v>0</v>
      </c>
      <c r="I7" s="103"/>
      <c r="J7" s="103"/>
      <c r="K7" s="103"/>
      <c r="L7" s="103">
        <v>0</v>
      </c>
      <c r="M7" s="103">
        <f t="shared" si="1"/>
        <v>0</v>
      </c>
    </row>
    <row r="8" spans="1:26" ht="16.5" customHeight="1" x14ac:dyDescent="0.25">
      <c r="A8" s="342"/>
      <c r="B8" s="342"/>
      <c r="C8" s="34">
        <v>17</v>
      </c>
      <c r="D8" s="39" t="s">
        <v>29</v>
      </c>
      <c r="E8" s="38">
        <f>'FY18 Average Cost per Client'!C8</f>
        <v>0</v>
      </c>
      <c r="F8" s="177" t="e">
        <f t="shared" si="0"/>
        <v>#REF!</v>
      </c>
      <c r="G8" s="179" t="e">
        <f>MROUND(#REF!*'FY18 Allocations'!H8,10000)</f>
        <v>#REF!</v>
      </c>
      <c r="H8" s="175">
        <v>0</v>
      </c>
      <c r="I8" s="189"/>
      <c r="J8" s="175"/>
      <c r="K8" s="175"/>
      <c r="L8" s="175">
        <v>0</v>
      </c>
      <c r="M8" s="175">
        <f t="shared" si="1"/>
        <v>0</v>
      </c>
    </row>
    <row r="9" spans="1:26" ht="15.75" customHeight="1" x14ac:dyDescent="0.25">
      <c r="A9" s="342"/>
      <c r="B9" s="342"/>
      <c r="C9" s="41">
        <v>1</v>
      </c>
      <c r="D9" s="43" t="s">
        <v>31</v>
      </c>
      <c r="E9" s="142">
        <f>'FY18 Average Cost per Client'!C9</f>
        <v>1553256.17</v>
      </c>
      <c r="F9" s="193" t="e">
        <f t="shared" si="0"/>
        <v>#REF!</v>
      </c>
      <c r="G9" s="195" t="e">
        <f t="shared" ref="G9:G13" si="3">#REF!</f>
        <v>#REF!</v>
      </c>
      <c r="H9" s="196">
        <v>1500000</v>
      </c>
      <c r="I9" s="197"/>
      <c r="J9" s="196"/>
      <c r="K9" s="196"/>
      <c r="L9" s="196">
        <v>1550000</v>
      </c>
      <c r="M9" s="196">
        <f t="shared" si="1"/>
        <v>1525000</v>
      </c>
      <c r="N9" s="2"/>
      <c r="O9" s="2"/>
      <c r="P9" s="2"/>
      <c r="Q9" s="2"/>
      <c r="R9" s="2"/>
      <c r="S9" s="2"/>
      <c r="T9" s="2"/>
      <c r="U9" s="2"/>
      <c r="V9" s="2"/>
      <c r="W9" s="2"/>
      <c r="X9" s="2"/>
      <c r="Y9" s="2"/>
      <c r="Z9" s="2"/>
    </row>
    <row r="10" spans="1:26" ht="15.75" customHeight="1" x14ac:dyDescent="0.25">
      <c r="A10" s="342"/>
      <c r="B10" s="342"/>
      <c r="C10" s="34">
        <v>10</v>
      </c>
      <c r="D10" s="39" t="s">
        <v>32</v>
      </c>
      <c r="E10" s="38">
        <f>'FY18 Average Cost per Client'!C10</f>
        <v>4468.26</v>
      </c>
      <c r="F10" s="177" t="e">
        <f t="shared" si="0"/>
        <v>#REF!</v>
      </c>
      <c r="G10" s="179" t="e">
        <f t="shared" si="3"/>
        <v>#REF!</v>
      </c>
      <c r="H10" s="175">
        <v>5000</v>
      </c>
      <c r="I10" s="189"/>
      <c r="J10" s="175"/>
      <c r="K10" s="175"/>
      <c r="L10" s="175">
        <v>5000</v>
      </c>
      <c r="M10" s="175">
        <f t="shared" si="1"/>
        <v>5000</v>
      </c>
    </row>
    <row r="11" spans="1:26" ht="15.75" customHeight="1" x14ac:dyDescent="0.25">
      <c r="A11" s="342"/>
      <c r="B11" s="342"/>
      <c r="C11" s="34">
        <v>16</v>
      </c>
      <c r="D11" s="39" t="s">
        <v>33</v>
      </c>
      <c r="E11" s="38">
        <f>'FY18 Average Cost per Client'!C11</f>
        <v>18617.77</v>
      </c>
      <c r="F11" s="177" t="e">
        <f t="shared" si="0"/>
        <v>#REF!</v>
      </c>
      <c r="G11" s="179" t="e">
        <f t="shared" si="3"/>
        <v>#REF!</v>
      </c>
      <c r="H11" s="175">
        <v>20000</v>
      </c>
      <c r="I11" s="189"/>
      <c r="J11" s="175"/>
      <c r="K11" s="175"/>
      <c r="L11" s="175">
        <v>20000</v>
      </c>
      <c r="M11" s="175">
        <f t="shared" si="1"/>
        <v>20000</v>
      </c>
    </row>
    <row r="12" spans="1:26" ht="15.75" customHeight="1" x14ac:dyDescent="0.25">
      <c r="A12" s="342"/>
      <c r="B12" s="342"/>
      <c r="C12" s="34">
        <v>20</v>
      </c>
      <c r="D12" s="39" t="s">
        <v>106</v>
      </c>
      <c r="E12" s="38">
        <f>'FY18 Average Cost per Client'!C12</f>
        <v>0</v>
      </c>
      <c r="F12" s="177" t="e">
        <f t="shared" si="0"/>
        <v>#REF!</v>
      </c>
      <c r="G12" s="179" t="e">
        <f t="shared" si="3"/>
        <v>#REF!</v>
      </c>
      <c r="H12" s="175">
        <v>0</v>
      </c>
      <c r="I12" s="189"/>
      <c r="J12" s="175"/>
      <c r="K12" s="175"/>
      <c r="L12" s="175">
        <v>0</v>
      </c>
      <c r="M12" s="175">
        <f t="shared" si="1"/>
        <v>0</v>
      </c>
    </row>
    <row r="13" spans="1:26" ht="15.75" customHeight="1" x14ac:dyDescent="0.25">
      <c r="A13" s="342"/>
      <c r="B13" s="342"/>
      <c r="C13" s="34">
        <v>8</v>
      </c>
      <c r="D13" s="39" t="s">
        <v>35</v>
      </c>
      <c r="E13" s="38">
        <f>'FY18 Average Cost per Client'!C13</f>
        <v>190645.93</v>
      </c>
      <c r="F13" s="177" t="e">
        <f t="shared" si="0"/>
        <v>#REF!</v>
      </c>
      <c r="G13" s="179" t="e">
        <f t="shared" si="3"/>
        <v>#REF!</v>
      </c>
      <c r="H13" s="175">
        <v>195000</v>
      </c>
      <c r="I13" s="189"/>
      <c r="J13" s="175"/>
      <c r="K13" s="175"/>
      <c r="L13" s="175">
        <v>180000</v>
      </c>
      <c r="M13" s="175">
        <f t="shared" si="1"/>
        <v>187500</v>
      </c>
      <c r="N13" s="2"/>
      <c r="O13" s="2"/>
      <c r="P13" s="2"/>
      <c r="Q13" s="2"/>
      <c r="R13" s="2"/>
      <c r="S13" s="2"/>
      <c r="T13" s="2"/>
      <c r="U13" s="2"/>
      <c r="V13" s="2"/>
      <c r="W13" s="2"/>
      <c r="X13" s="2"/>
      <c r="Y13" s="2"/>
      <c r="Z13" s="2"/>
    </row>
    <row r="14" spans="1:26" ht="15.75" customHeight="1" x14ac:dyDescent="0.25">
      <c r="A14" s="342"/>
      <c r="B14" s="342"/>
      <c r="C14" s="198">
        <v>12</v>
      </c>
      <c r="D14" s="39" t="s">
        <v>36</v>
      </c>
      <c r="E14" s="38">
        <f>'FY18 Average Cost per Client'!C14</f>
        <v>247243.94</v>
      </c>
      <c r="F14" s="37"/>
      <c r="G14" s="175"/>
      <c r="H14" s="175">
        <v>250000</v>
      </c>
      <c r="I14" s="175"/>
      <c r="J14" s="175"/>
      <c r="K14" s="175"/>
      <c r="L14" s="175">
        <v>250000</v>
      </c>
      <c r="M14" s="175">
        <f t="shared" si="1"/>
        <v>250000</v>
      </c>
    </row>
    <row r="15" spans="1:26" ht="16.5" customHeight="1" x14ac:dyDescent="0.25">
      <c r="A15" s="343"/>
      <c r="B15" s="343"/>
      <c r="C15" s="137">
        <v>4</v>
      </c>
      <c r="D15" s="7" t="s">
        <v>37</v>
      </c>
      <c r="E15" s="126">
        <f>'FY18 Average Cost per Client'!C15</f>
        <v>1904969.9</v>
      </c>
      <c r="F15" s="7"/>
      <c r="G15" s="7"/>
      <c r="H15" s="178">
        <v>1900000</v>
      </c>
      <c r="I15" s="7"/>
      <c r="J15" s="7"/>
      <c r="K15" s="7"/>
      <c r="L15" s="178">
        <v>1900000</v>
      </c>
      <c r="M15" s="178">
        <f t="shared" si="1"/>
        <v>1900000</v>
      </c>
    </row>
    <row r="16" spans="1:26" ht="15.75" customHeight="1" x14ac:dyDescent="0.25">
      <c r="A16" s="350">
        <f>SUM(M16:M25)/M26</f>
        <v>0.22116564417177914</v>
      </c>
      <c r="B16" s="344" t="s">
        <v>39</v>
      </c>
      <c r="C16" s="24">
        <v>11</v>
      </c>
      <c r="D16" s="131" t="s">
        <v>40</v>
      </c>
      <c r="E16" s="20">
        <f>'FY18 Average Cost per Client'!C16</f>
        <v>116174.86</v>
      </c>
      <c r="F16" s="201" t="e">
        <f t="shared" ref="F16:F25" si="4">#REF!/#REF!</f>
        <v>#REF!</v>
      </c>
      <c r="G16" s="202" t="e">
        <f t="shared" ref="G16:G25" si="5">#REF!</f>
        <v>#REF!</v>
      </c>
      <c r="H16" s="200">
        <v>120000</v>
      </c>
      <c r="I16" s="204"/>
      <c r="J16" s="200"/>
      <c r="K16" s="200"/>
      <c r="L16" s="200">
        <v>115000</v>
      </c>
      <c r="M16" s="200">
        <f t="shared" si="1"/>
        <v>117500</v>
      </c>
    </row>
    <row r="17" spans="1:14" ht="15.75" customHeight="1" x14ac:dyDescent="0.25">
      <c r="A17" s="342"/>
      <c r="B17" s="342"/>
      <c r="C17" s="24">
        <v>15</v>
      </c>
      <c r="D17" s="39" t="s">
        <v>41</v>
      </c>
      <c r="E17" s="38">
        <f>'FY18 Average Cost per Client'!C17</f>
        <v>0</v>
      </c>
      <c r="F17" s="177" t="e">
        <f t="shared" si="4"/>
        <v>#REF!</v>
      </c>
      <c r="G17" s="179" t="e">
        <f t="shared" si="5"/>
        <v>#REF!</v>
      </c>
      <c r="H17" s="175">
        <v>0</v>
      </c>
      <c r="I17" s="189"/>
      <c r="J17" s="175"/>
      <c r="K17" s="175"/>
      <c r="L17" s="175">
        <v>0</v>
      </c>
      <c r="M17" s="175">
        <f t="shared" si="1"/>
        <v>0</v>
      </c>
    </row>
    <row r="18" spans="1:14" ht="15.75" customHeight="1" x14ac:dyDescent="0.25">
      <c r="A18" s="342"/>
      <c r="B18" s="342"/>
      <c r="C18" s="24">
        <v>5</v>
      </c>
      <c r="D18" s="39" t="s">
        <v>42</v>
      </c>
      <c r="E18" s="38">
        <f>'FY18 Average Cost per Client'!C18</f>
        <v>460975.9</v>
      </c>
      <c r="F18" s="177" t="e">
        <f t="shared" si="4"/>
        <v>#REF!</v>
      </c>
      <c r="G18" s="179" t="e">
        <f t="shared" si="5"/>
        <v>#REF!</v>
      </c>
      <c r="H18" s="175">
        <v>470000</v>
      </c>
      <c r="I18" s="189"/>
      <c r="J18" s="175"/>
      <c r="K18" s="175"/>
      <c r="L18" s="175">
        <v>460000</v>
      </c>
      <c r="M18" s="175">
        <f t="shared" si="1"/>
        <v>465000</v>
      </c>
    </row>
    <row r="19" spans="1:14" ht="15.75" customHeight="1" x14ac:dyDescent="0.25">
      <c r="A19" s="342"/>
      <c r="B19" s="342"/>
      <c r="C19" s="24">
        <v>6</v>
      </c>
      <c r="D19" s="39" t="s">
        <v>43</v>
      </c>
      <c r="E19" s="38">
        <f>'FY18 Average Cost per Client'!C19</f>
        <v>330651.53999999998</v>
      </c>
      <c r="F19" s="177" t="e">
        <f t="shared" si="4"/>
        <v>#REF!</v>
      </c>
      <c r="G19" s="179" t="e">
        <f t="shared" si="5"/>
        <v>#REF!</v>
      </c>
      <c r="H19" s="175">
        <v>340000</v>
      </c>
      <c r="I19" s="189"/>
      <c r="J19" s="175"/>
      <c r="K19" s="175"/>
      <c r="L19" s="175">
        <v>330000</v>
      </c>
      <c r="M19" s="175">
        <f t="shared" si="1"/>
        <v>335000</v>
      </c>
    </row>
    <row r="20" spans="1:14" ht="15.75" customHeight="1" x14ac:dyDescent="0.25">
      <c r="A20" s="342"/>
      <c r="B20" s="342"/>
      <c r="C20" s="24">
        <v>9</v>
      </c>
      <c r="D20" s="39" t="s">
        <v>44</v>
      </c>
      <c r="E20" s="38">
        <f>'FY18 Average Cost per Client'!C20</f>
        <v>78939.33</v>
      </c>
      <c r="F20" s="177" t="e">
        <f t="shared" si="4"/>
        <v>#REF!</v>
      </c>
      <c r="G20" s="179" t="e">
        <f t="shared" si="5"/>
        <v>#REF!</v>
      </c>
      <c r="H20" s="175">
        <v>80000</v>
      </c>
      <c r="I20" s="189"/>
      <c r="J20" s="175"/>
      <c r="K20" s="175"/>
      <c r="L20" s="175">
        <v>80000</v>
      </c>
      <c r="M20" s="175">
        <f t="shared" si="1"/>
        <v>80000</v>
      </c>
    </row>
    <row r="21" spans="1:14" ht="15.75" customHeight="1" x14ac:dyDescent="0.25">
      <c r="A21" s="342"/>
      <c r="B21" s="342"/>
      <c r="C21" s="24">
        <v>18</v>
      </c>
      <c r="D21" s="39" t="s">
        <v>45</v>
      </c>
      <c r="E21" s="38">
        <f>'FY18 Average Cost per Client'!C21</f>
        <v>0</v>
      </c>
      <c r="F21" s="177" t="e">
        <f t="shared" si="4"/>
        <v>#REF!</v>
      </c>
      <c r="G21" s="179" t="e">
        <f t="shared" si="5"/>
        <v>#REF!</v>
      </c>
      <c r="H21" s="175">
        <v>0</v>
      </c>
      <c r="I21" s="189"/>
      <c r="J21" s="175"/>
      <c r="K21" s="175"/>
      <c r="L21" s="175">
        <v>0</v>
      </c>
      <c r="M21" s="175">
        <f t="shared" si="1"/>
        <v>0</v>
      </c>
    </row>
    <row r="22" spans="1:14" ht="15.75" customHeight="1" x14ac:dyDescent="0.25">
      <c r="A22" s="342"/>
      <c r="B22" s="342"/>
      <c r="C22" s="34">
        <v>3</v>
      </c>
      <c r="D22" s="39" t="s">
        <v>46</v>
      </c>
      <c r="E22" s="38">
        <f>'FY18 Average Cost per Client'!C22</f>
        <v>689602.08</v>
      </c>
      <c r="F22" s="177" t="e">
        <f t="shared" si="4"/>
        <v>#REF!</v>
      </c>
      <c r="G22" s="179" t="e">
        <f t="shared" si="5"/>
        <v>#REF!</v>
      </c>
      <c r="H22" s="175">
        <v>690000</v>
      </c>
      <c r="I22" s="189"/>
      <c r="J22" s="175"/>
      <c r="K22" s="175"/>
      <c r="L22" s="175">
        <v>700000</v>
      </c>
      <c r="M22" s="175">
        <f t="shared" si="1"/>
        <v>695000</v>
      </c>
    </row>
    <row r="23" spans="1:14" ht="15.75" customHeight="1" x14ac:dyDescent="0.25">
      <c r="A23" s="342"/>
      <c r="B23" s="342"/>
      <c r="C23" s="34">
        <v>13</v>
      </c>
      <c r="D23" s="39" t="s">
        <v>47</v>
      </c>
      <c r="E23" s="38">
        <f>'FY18 Average Cost per Client'!C23</f>
        <v>23086.03</v>
      </c>
      <c r="F23" s="177" t="e">
        <f t="shared" si="4"/>
        <v>#REF!</v>
      </c>
      <c r="G23" s="179" t="e">
        <f t="shared" si="5"/>
        <v>#REF!</v>
      </c>
      <c r="H23" s="175">
        <v>30000</v>
      </c>
      <c r="I23" s="189"/>
      <c r="J23" s="175"/>
      <c r="K23" s="175"/>
      <c r="L23" s="175">
        <v>30000</v>
      </c>
      <c r="M23" s="175">
        <f t="shared" si="1"/>
        <v>30000</v>
      </c>
    </row>
    <row r="24" spans="1:14" ht="15.75" customHeight="1" x14ac:dyDescent="0.25">
      <c r="A24" s="342"/>
      <c r="B24" s="342"/>
      <c r="C24" s="206">
        <v>7</v>
      </c>
      <c r="D24" s="43" t="s">
        <v>48</v>
      </c>
      <c r="E24" s="142">
        <f>'FY18 Average Cost per Client'!C24</f>
        <v>70002.8</v>
      </c>
      <c r="F24" s="193" t="e">
        <f t="shared" si="4"/>
        <v>#REF!</v>
      </c>
      <c r="G24" s="195" t="e">
        <f t="shared" si="5"/>
        <v>#REF!</v>
      </c>
      <c r="H24" s="196">
        <v>90000</v>
      </c>
      <c r="I24" s="197"/>
      <c r="J24" s="196"/>
      <c r="K24" s="196"/>
      <c r="L24" s="196">
        <v>70000</v>
      </c>
      <c r="M24" s="196">
        <f t="shared" si="1"/>
        <v>80000</v>
      </c>
    </row>
    <row r="25" spans="1:14" ht="15.75" customHeight="1" x14ac:dyDescent="0.25">
      <c r="A25" s="342"/>
      <c r="B25" s="342"/>
      <c r="C25" s="137">
        <v>19</v>
      </c>
      <c r="D25" s="139" t="s">
        <v>49</v>
      </c>
      <c r="E25" s="126">
        <f>'FY18 Average Cost per Client'!C25</f>
        <v>0</v>
      </c>
      <c r="F25" s="209" t="e">
        <f t="shared" si="4"/>
        <v>#REF!</v>
      </c>
      <c r="G25" s="210" t="e">
        <f t="shared" si="5"/>
        <v>#REF!</v>
      </c>
      <c r="H25" s="178">
        <v>0</v>
      </c>
      <c r="I25" s="213"/>
      <c r="J25" s="178"/>
      <c r="K25" s="178"/>
      <c r="L25" s="178">
        <v>0</v>
      </c>
      <c r="M25" s="178">
        <f t="shared" si="1"/>
        <v>0</v>
      </c>
    </row>
    <row r="26" spans="1:14" ht="15.75" customHeight="1" x14ac:dyDescent="0.25">
      <c r="A26" s="129"/>
      <c r="B26" s="130"/>
      <c r="C26" s="143"/>
      <c r="D26" s="149" t="s">
        <v>108</v>
      </c>
      <c r="E26" s="216">
        <f t="shared" ref="E26:M26" si="6">SUM(E5:E25)</f>
        <v>8150257.3000000007</v>
      </c>
      <c r="F26" s="216" t="e">
        <f t="shared" si="6"/>
        <v>#REF!</v>
      </c>
      <c r="G26" s="216" t="e">
        <f t="shared" si="6"/>
        <v>#REF!</v>
      </c>
      <c r="H26" s="216">
        <f t="shared" si="6"/>
        <v>8150000</v>
      </c>
      <c r="I26" s="216">
        <f t="shared" si="6"/>
        <v>0</v>
      </c>
      <c r="J26" s="216">
        <f t="shared" si="6"/>
        <v>0</v>
      </c>
      <c r="K26" s="216">
        <f t="shared" si="6"/>
        <v>0</v>
      </c>
      <c r="L26" s="216">
        <f t="shared" si="6"/>
        <v>8150000</v>
      </c>
      <c r="M26" s="216">
        <f t="shared" si="6"/>
        <v>8150000</v>
      </c>
      <c r="N26" s="3"/>
    </row>
    <row r="27" spans="1:14" ht="15.75" customHeight="1" x14ac:dyDescent="0.25">
      <c r="A27" s="2"/>
      <c r="D27" s="218" t="s">
        <v>109</v>
      </c>
      <c r="E27" s="220">
        <f t="shared" ref="E27:M27" si="7">MROUND(E26,10000)</f>
        <v>8150000</v>
      </c>
      <c r="F27" s="220" t="e">
        <f t="shared" si="7"/>
        <v>#REF!</v>
      </c>
      <c r="G27" s="220" t="e">
        <f t="shared" si="7"/>
        <v>#REF!</v>
      </c>
      <c r="H27" s="220">
        <f t="shared" si="7"/>
        <v>8150000</v>
      </c>
      <c r="I27" s="220">
        <f t="shared" si="7"/>
        <v>0</v>
      </c>
      <c r="J27" s="220">
        <f t="shared" si="7"/>
        <v>0</v>
      </c>
      <c r="K27" s="220">
        <f t="shared" si="7"/>
        <v>0</v>
      </c>
      <c r="L27" s="220">
        <f t="shared" si="7"/>
        <v>8150000</v>
      </c>
      <c r="M27" s="220">
        <f t="shared" si="7"/>
        <v>8150000</v>
      </c>
    </row>
    <row r="28" spans="1:14" ht="15.75" customHeight="1" x14ac:dyDescent="0.25">
      <c r="D28" s="2"/>
      <c r="E28" s="2"/>
      <c r="F28" s="165"/>
      <c r="G28" s="138" t="e">
        <f>G27+#REF!</f>
        <v>#REF!</v>
      </c>
      <c r="H28" s="138"/>
      <c r="I28" s="9"/>
      <c r="J28" s="166"/>
      <c r="K28" s="30"/>
    </row>
    <row r="29" spans="1:14" ht="15.75" customHeight="1" x14ac:dyDescent="0.25">
      <c r="D29" s="221" t="s">
        <v>110</v>
      </c>
      <c r="E29" s="138">
        <f>MROUND('FY18 Allocations'!E40,10000)</f>
        <v>8150000</v>
      </c>
      <c r="F29" s="165"/>
      <c r="G29" s="165"/>
      <c r="H29" s="138">
        <f>E29</f>
        <v>8150000</v>
      </c>
      <c r="I29" s="9"/>
      <c r="J29" s="166"/>
      <c r="K29" s="30"/>
      <c r="L29" s="138">
        <f>E29</f>
        <v>8150000</v>
      </c>
      <c r="M29" s="138">
        <f>E29</f>
        <v>8150000</v>
      </c>
    </row>
    <row r="30" spans="1:14" ht="15.75" customHeight="1" x14ac:dyDescent="0.25">
      <c r="D30" s="67"/>
      <c r="E30" s="138"/>
      <c r="I30" s="2"/>
    </row>
    <row r="31" spans="1:14" ht="15.75" customHeight="1" x14ac:dyDescent="0.25">
      <c r="D31" s="67" t="s">
        <v>111</v>
      </c>
      <c r="E31" s="138">
        <f t="shared" ref="E31:M31" si="8">E27-E29</f>
        <v>0</v>
      </c>
      <c r="F31" s="138" t="e">
        <f t="shared" si="8"/>
        <v>#REF!</v>
      </c>
      <c r="G31" s="138" t="e">
        <f t="shared" si="8"/>
        <v>#REF!</v>
      </c>
      <c r="H31" s="138">
        <f t="shared" si="8"/>
        <v>0</v>
      </c>
      <c r="I31" s="138">
        <f t="shared" si="8"/>
        <v>0</v>
      </c>
      <c r="J31" s="138">
        <f t="shared" si="8"/>
        <v>0</v>
      </c>
      <c r="K31" s="138">
        <f t="shared" si="8"/>
        <v>0</v>
      </c>
      <c r="L31" s="138">
        <f t="shared" si="8"/>
        <v>0</v>
      </c>
      <c r="M31" s="138">
        <f t="shared" si="8"/>
        <v>0</v>
      </c>
    </row>
    <row r="32" spans="1:14" ht="15.75" customHeight="1" x14ac:dyDescent="0.25"/>
    <row r="33" spans="5:7" ht="15.75" customHeight="1" x14ac:dyDescent="0.25">
      <c r="E33" s="9"/>
      <c r="F33" s="9"/>
      <c r="G33" s="9"/>
    </row>
    <row r="34" spans="5:7" ht="15.75" customHeight="1" x14ac:dyDescent="0.25"/>
    <row r="35" spans="5:7" ht="15.75" customHeight="1" x14ac:dyDescent="0.25"/>
    <row r="36" spans="5:7" ht="15.75" customHeight="1" x14ac:dyDescent="0.25"/>
    <row r="37" spans="5:7" ht="15.75" customHeight="1" x14ac:dyDescent="0.25"/>
    <row r="38" spans="5:7" ht="15.75" customHeight="1" x14ac:dyDescent="0.25"/>
    <row r="39" spans="5:7" ht="15.75" customHeight="1" x14ac:dyDescent="0.25"/>
    <row r="40" spans="5:7" ht="15.75" customHeight="1" x14ac:dyDescent="0.25"/>
    <row r="41" spans="5:7" ht="15.75" customHeight="1" x14ac:dyDescent="0.25"/>
    <row r="42" spans="5:7" ht="15.75" customHeight="1" x14ac:dyDescent="0.25"/>
    <row r="43" spans="5:7" ht="15.75" customHeight="1" x14ac:dyDescent="0.25"/>
    <row r="44" spans="5:7" ht="15.75" customHeight="1" x14ac:dyDescent="0.25"/>
    <row r="45" spans="5:7" ht="15.75" customHeight="1" x14ac:dyDescent="0.25"/>
    <row r="46" spans="5:7" ht="15.75" customHeight="1" x14ac:dyDescent="0.25"/>
    <row r="47" spans="5:7" ht="15.75" customHeight="1" x14ac:dyDescent="0.25"/>
    <row r="48" spans="5:7"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3" workbookViewId="0">
      <selection activeCell="B31" sqref="B31:B32"/>
    </sheetView>
  </sheetViews>
  <sheetFormatPr defaultColWidth="11.25" defaultRowHeight="15" customHeight="1" x14ac:dyDescent="0.25"/>
  <cols>
    <col min="1" max="1" width="11.125" customWidth="1"/>
    <col min="2" max="2" width="9.625" customWidth="1"/>
    <col min="3" max="3" width="10.875" customWidth="1"/>
    <col min="4" max="4" width="47.625" customWidth="1"/>
    <col min="5" max="5" width="17.5" customWidth="1"/>
    <col min="6" max="6" width="9.125" customWidth="1"/>
    <col min="7" max="7" width="7.875" customWidth="1"/>
    <col min="8" max="8" width="15" hidden="1" customWidth="1"/>
    <col min="9" max="10" width="10.875" hidden="1" customWidth="1"/>
    <col min="11" max="11" width="15.125" hidden="1" customWidth="1"/>
    <col min="12" max="12" width="15.625" customWidth="1"/>
    <col min="13" max="14" width="11.125" customWidth="1"/>
    <col min="15" max="26" width="15.125" customWidth="1"/>
  </cols>
  <sheetData>
    <row r="1" spans="1:26" ht="18.75" customHeight="1" x14ac:dyDescent="0.3">
      <c r="A1" s="168" t="s">
        <v>116</v>
      </c>
    </row>
    <row r="2" spans="1:26" ht="18.75" customHeight="1" x14ac:dyDescent="0.3">
      <c r="B2" s="168"/>
    </row>
    <row r="3" spans="1:26" ht="15.75" customHeight="1" x14ac:dyDescent="0.25">
      <c r="D3" t="s">
        <v>1</v>
      </c>
      <c r="E3" s="2" t="s">
        <v>117</v>
      </c>
      <c r="G3" s="2"/>
      <c r="H3" t="s">
        <v>118</v>
      </c>
    </row>
    <row r="4" spans="1:26" ht="54" customHeight="1" x14ac:dyDescent="0.25">
      <c r="A4" s="5" t="s">
        <v>119</v>
      </c>
      <c r="B4" s="6" t="s">
        <v>6</v>
      </c>
      <c r="C4" s="5" t="s">
        <v>91</v>
      </c>
      <c r="D4" s="5" t="s">
        <v>8</v>
      </c>
      <c r="E4" s="14" t="s">
        <v>120</v>
      </c>
      <c r="F4" s="14" t="s">
        <v>121</v>
      </c>
      <c r="G4" s="23"/>
      <c r="H4" s="234" t="s">
        <v>65</v>
      </c>
      <c r="I4" s="14" t="s">
        <v>66</v>
      </c>
      <c r="J4" s="14" t="s">
        <v>67</v>
      </c>
    </row>
    <row r="5" spans="1:26" ht="15.75" customHeight="1" x14ac:dyDescent="0.25">
      <c r="A5" s="350">
        <f>SUM(E5:E15)/E26</f>
        <v>0.75805369127516775</v>
      </c>
      <c r="B5" s="362" t="s">
        <v>21</v>
      </c>
      <c r="C5" s="24">
        <v>2</v>
      </c>
      <c r="D5" s="16" t="s">
        <v>26</v>
      </c>
      <c r="E5" s="185">
        <f>MROUND('FY19 Allocation - Flat Combined'!M5*'FY18 Allocations'!H5,5000)</f>
        <v>1940000</v>
      </c>
      <c r="F5" s="236">
        <f t="shared" ref="F5:F25" si="0">ROUND(E5/$E$26,4)</f>
        <v>0.26040000000000002</v>
      </c>
      <c r="G5" s="30"/>
      <c r="H5" s="89">
        <f>'FY18 Allocations'!E5</f>
        <v>1942205.4399999999</v>
      </c>
      <c r="I5" s="89">
        <f t="shared" ref="I5:I8" si="1">E5-H5</f>
        <v>-2205.4399999999441</v>
      </c>
      <c r="J5" s="27">
        <f>I5/H5</f>
        <v>-1.1355338393038094E-3</v>
      </c>
      <c r="L5" s="138"/>
    </row>
    <row r="6" spans="1:26" ht="15.75" customHeight="1" x14ac:dyDescent="0.25">
      <c r="A6" s="342"/>
      <c r="B6" s="342"/>
      <c r="C6" s="34">
        <v>14</v>
      </c>
      <c r="D6" s="39" t="s">
        <v>27</v>
      </c>
      <c r="E6" s="175">
        <f>'FY19 Allocation - Flat Combined'!M6</f>
        <v>0</v>
      </c>
      <c r="F6" s="37">
        <f t="shared" si="0"/>
        <v>0</v>
      </c>
      <c r="G6" s="30"/>
      <c r="H6" s="150">
        <v>0</v>
      </c>
      <c r="I6" s="89">
        <f t="shared" si="1"/>
        <v>0</v>
      </c>
      <c r="J6" s="37">
        <v>0</v>
      </c>
    </row>
    <row r="7" spans="1:26" ht="15.75" customHeight="1" x14ac:dyDescent="0.25">
      <c r="A7" s="342"/>
      <c r="B7" s="342"/>
      <c r="C7" s="181" t="s">
        <v>104</v>
      </c>
      <c r="D7" s="190" t="s">
        <v>28</v>
      </c>
      <c r="E7" s="103">
        <f>'FY19 Allocation - Flat Combined'!M7</f>
        <v>0</v>
      </c>
      <c r="F7" s="183">
        <f t="shared" si="0"/>
        <v>0</v>
      </c>
      <c r="G7" s="30"/>
      <c r="H7" s="150">
        <v>0</v>
      </c>
      <c r="I7" s="89">
        <f t="shared" si="1"/>
        <v>0</v>
      </c>
      <c r="J7" s="37">
        <v>0</v>
      </c>
    </row>
    <row r="8" spans="1:26" ht="15.75" customHeight="1" x14ac:dyDescent="0.25">
      <c r="A8" s="342"/>
      <c r="B8" s="342"/>
      <c r="C8" s="34">
        <v>17</v>
      </c>
      <c r="D8" s="39" t="s">
        <v>29</v>
      </c>
      <c r="E8" s="175">
        <f>'FY19 Allocation - Flat Combined'!M8</f>
        <v>0</v>
      </c>
      <c r="F8" s="37">
        <f t="shared" si="0"/>
        <v>0</v>
      </c>
      <c r="G8" s="30"/>
      <c r="H8" s="167">
        <f>'FY18 Allocations'!E8</f>
        <v>0</v>
      </c>
      <c r="I8" s="89">
        <f t="shared" si="1"/>
        <v>0</v>
      </c>
      <c r="J8" s="37" t="e">
        <f>I8/H8</f>
        <v>#DIV/0!</v>
      </c>
    </row>
    <row r="9" spans="1:26" ht="15.75" customHeight="1" x14ac:dyDescent="0.25">
      <c r="A9" s="342"/>
      <c r="B9" s="342"/>
      <c r="C9" s="41">
        <v>1</v>
      </c>
      <c r="D9" s="43" t="s">
        <v>30</v>
      </c>
      <c r="E9" s="196">
        <f>MROUND('FY19 Allocation - Flat Combined'!M9*'FY18 Allocations'!H9,5000)</f>
        <v>1345000</v>
      </c>
      <c r="F9" s="237">
        <f t="shared" si="0"/>
        <v>0.18049999999999999</v>
      </c>
      <c r="G9" s="30"/>
      <c r="H9" s="167"/>
      <c r="I9" s="89"/>
      <c r="J9" s="37"/>
      <c r="K9" s="2"/>
      <c r="L9" s="2"/>
      <c r="M9" s="2"/>
      <c r="N9" s="2"/>
      <c r="O9" s="2"/>
      <c r="P9" s="2"/>
      <c r="Q9" s="2"/>
      <c r="R9" s="2"/>
      <c r="S9" s="2"/>
      <c r="T9" s="2"/>
      <c r="U9" s="2"/>
      <c r="V9" s="2"/>
      <c r="W9" s="2"/>
      <c r="X9" s="2"/>
      <c r="Y9" s="2"/>
      <c r="Z9" s="2"/>
    </row>
    <row r="10" spans="1:26" ht="15.75" customHeight="1" x14ac:dyDescent="0.25">
      <c r="A10" s="342"/>
      <c r="B10" s="342"/>
      <c r="C10" s="34">
        <v>10</v>
      </c>
      <c r="D10" s="39" t="s">
        <v>32</v>
      </c>
      <c r="E10" s="175">
        <f>'FY19 Allocation - Flat Combined'!M10</f>
        <v>5000</v>
      </c>
      <c r="F10" s="37">
        <f t="shared" si="0"/>
        <v>6.9999999999999999E-4</v>
      </c>
      <c r="G10" s="30"/>
      <c r="H10" s="167">
        <f>'FY18 Allocations'!E10</f>
        <v>4468.26</v>
      </c>
      <c r="I10" s="89">
        <f t="shared" ref="I10:I12" si="2">E10-H10</f>
        <v>531.73999999999978</v>
      </c>
      <c r="J10" s="37">
        <f t="shared" ref="J10:J12" si="3">I10/H10</f>
        <v>0.1190038180410271</v>
      </c>
    </row>
    <row r="11" spans="1:26" ht="15.75" customHeight="1" x14ac:dyDescent="0.25">
      <c r="A11" s="342"/>
      <c r="B11" s="342"/>
      <c r="C11" s="34">
        <v>16</v>
      </c>
      <c r="D11" s="39" t="s">
        <v>33</v>
      </c>
      <c r="E11" s="175">
        <f>'FY19 Allocation - Flat Combined'!M11</f>
        <v>20000</v>
      </c>
      <c r="F11" s="37">
        <f t="shared" si="0"/>
        <v>2.7000000000000001E-3</v>
      </c>
      <c r="G11" s="30"/>
      <c r="H11" s="167">
        <f>'FY18 Allocations'!E11</f>
        <v>18617.77</v>
      </c>
      <c r="I11" s="89">
        <f t="shared" si="2"/>
        <v>1382.2299999999996</v>
      </c>
      <c r="J11" s="37">
        <f t="shared" si="3"/>
        <v>7.4242511321173238E-2</v>
      </c>
    </row>
    <row r="12" spans="1:26" ht="15.75" customHeight="1" x14ac:dyDescent="0.25">
      <c r="A12" s="342"/>
      <c r="B12" s="342"/>
      <c r="C12" s="34">
        <v>20</v>
      </c>
      <c r="D12" s="39" t="s">
        <v>38</v>
      </c>
      <c r="E12" s="175">
        <f>'FY19 Allocation - Flat Combined'!M12</f>
        <v>0</v>
      </c>
      <c r="F12" s="37">
        <f t="shared" si="0"/>
        <v>0</v>
      </c>
      <c r="G12" s="30"/>
      <c r="H12" s="167">
        <f>'FY18 Allocations'!E12</f>
        <v>0</v>
      </c>
      <c r="I12" s="89">
        <f t="shared" si="2"/>
        <v>0</v>
      </c>
      <c r="J12" s="37" t="e">
        <f t="shared" si="3"/>
        <v>#DIV/0!</v>
      </c>
    </row>
    <row r="13" spans="1:26" ht="15.75" customHeight="1" x14ac:dyDescent="0.25">
      <c r="A13" s="342"/>
      <c r="B13" s="342"/>
      <c r="C13" s="34">
        <v>8</v>
      </c>
      <c r="D13" s="39" t="s">
        <v>35</v>
      </c>
      <c r="E13" s="175">
        <f>'FY19 Allocation - Flat Combined'!M13</f>
        <v>187500</v>
      </c>
      <c r="F13" s="37">
        <f t="shared" si="0"/>
        <v>2.52E-2</v>
      </c>
      <c r="G13" s="30"/>
      <c r="H13" s="167"/>
      <c r="I13" s="89"/>
      <c r="J13" s="37"/>
      <c r="K13" s="2"/>
      <c r="L13" s="2"/>
      <c r="M13" s="2"/>
      <c r="N13" s="2"/>
      <c r="O13" s="2"/>
      <c r="P13" s="2"/>
      <c r="Q13" s="2"/>
      <c r="R13" s="2"/>
      <c r="S13" s="2"/>
      <c r="T13" s="2"/>
      <c r="U13" s="2"/>
      <c r="V13" s="2"/>
      <c r="W13" s="2"/>
      <c r="X13" s="2"/>
      <c r="Y13" s="2"/>
      <c r="Z13" s="2"/>
    </row>
    <row r="14" spans="1:26" ht="15.75" customHeight="1" x14ac:dyDescent="0.25">
      <c r="A14" s="342"/>
      <c r="B14" s="342"/>
      <c r="C14" s="198">
        <v>12</v>
      </c>
      <c r="D14" s="39" t="s">
        <v>36</v>
      </c>
      <c r="E14" s="175">
        <f>'FY19 Allocation - Flat Combined'!M14</f>
        <v>250000</v>
      </c>
      <c r="F14" s="37">
        <f t="shared" si="0"/>
        <v>3.3599999999999998E-2</v>
      </c>
      <c r="G14" s="30"/>
      <c r="H14" s="167">
        <f>'FY18 Allocations'!E13</f>
        <v>190645.93</v>
      </c>
      <c r="I14" s="89">
        <f>E13-H14</f>
        <v>-3145.929999999993</v>
      </c>
      <c r="J14" s="37">
        <f>I14/H14</f>
        <v>-1.650142754162123E-2</v>
      </c>
      <c r="N14" s="239"/>
    </row>
    <row r="15" spans="1:26" ht="16.5" customHeight="1" x14ac:dyDescent="0.25">
      <c r="A15" s="343"/>
      <c r="B15" s="343"/>
      <c r="C15" s="137">
        <v>4</v>
      </c>
      <c r="D15" s="7" t="s">
        <v>37</v>
      </c>
      <c r="E15" s="178">
        <f>'FY19 Allocation - Flat Combined'!M15</f>
        <v>1900000</v>
      </c>
      <c r="F15" s="141">
        <f t="shared" si="0"/>
        <v>0.255</v>
      </c>
      <c r="G15" s="138"/>
      <c r="H15" s="155">
        <v>0</v>
      </c>
      <c r="I15" s="155" t="e">
        <f>#REF!-H15</f>
        <v>#REF!</v>
      </c>
      <c r="J15" s="240" t="s">
        <v>128</v>
      </c>
    </row>
    <row r="16" spans="1:26" ht="15.75" customHeight="1" x14ac:dyDescent="0.25">
      <c r="A16" s="350">
        <f>SUM(E16:E25)/E26</f>
        <v>0.24194630872483222</v>
      </c>
      <c r="B16" s="362" t="s">
        <v>39</v>
      </c>
      <c r="C16" s="24">
        <v>11</v>
      </c>
      <c r="D16" s="131" t="s">
        <v>40</v>
      </c>
      <c r="E16" s="200">
        <f>'FY19 Allocation - Flat Combined'!M16</f>
        <v>117500</v>
      </c>
      <c r="F16" s="27">
        <f t="shared" si="0"/>
        <v>1.5800000000000002E-2</v>
      </c>
      <c r="G16" s="30"/>
      <c r="H16" s="89">
        <f>'FY18 Allocations'!E16</f>
        <v>116174.86</v>
      </c>
      <c r="I16" s="89">
        <f t="shared" ref="I16:I24" si="4">E16-H16</f>
        <v>1325.1399999999994</v>
      </c>
      <c r="J16" s="27">
        <f t="shared" ref="J16:J22" si="5">I16/H16</f>
        <v>1.1406426485041594E-2</v>
      </c>
    </row>
    <row r="17" spans="1:14" ht="15.75" customHeight="1" x14ac:dyDescent="0.25">
      <c r="A17" s="342"/>
      <c r="B17" s="342"/>
      <c r="C17" s="24">
        <v>15</v>
      </c>
      <c r="D17" s="39" t="s">
        <v>41</v>
      </c>
      <c r="E17" s="175">
        <f>'FY19 Allocation - Flat Combined'!M17</f>
        <v>0</v>
      </c>
      <c r="F17" s="37">
        <f t="shared" si="0"/>
        <v>0</v>
      </c>
      <c r="G17" s="30"/>
      <c r="H17" s="167">
        <f>'FY18 Allocations'!E17</f>
        <v>0</v>
      </c>
      <c r="I17" s="89">
        <f t="shared" si="4"/>
        <v>0</v>
      </c>
      <c r="J17" s="37" t="e">
        <f t="shared" si="5"/>
        <v>#DIV/0!</v>
      </c>
    </row>
    <row r="18" spans="1:14" ht="15.75" customHeight="1" x14ac:dyDescent="0.25">
      <c r="A18" s="342"/>
      <c r="B18" s="342"/>
      <c r="C18" s="24">
        <v>5</v>
      </c>
      <c r="D18" s="39" t="s">
        <v>42</v>
      </c>
      <c r="E18" s="175">
        <f>'FY19 Allocation - Flat Combined'!M18</f>
        <v>465000</v>
      </c>
      <c r="F18" s="37">
        <f t="shared" si="0"/>
        <v>6.2399999999999997E-2</v>
      </c>
      <c r="G18" s="30"/>
      <c r="H18" s="167">
        <f>'FY18 Allocations'!E18</f>
        <v>460975.9</v>
      </c>
      <c r="I18" s="89">
        <f t="shared" si="4"/>
        <v>4024.0999999999767</v>
      </c>
      <c r="J18" s="37">
        <f t="shared" si="5"/>
        <v>8.7295236041623359E-3</v>
      </c>
    </row>
    <row r="19" spans="1:14" ht="15.75" customHeight="1" x14ac:dyDescent="0.25">
      <c r="A19" s="342"/>
      <c r="B19" s="342"/>
      <c r="C19" s="24">
        <v>6</v>
      </c>
      <c r="D19" s="39" t="s">
        <v>43</v>
      </c>
      <c r="E19" s="175">
        <f>'FY19 Allocation - Flat Combined'!M19</f>
        <v>335000</v>
      </c>
      <c r="F19" s="37">
        <f t="shared" si="0"/>
        <v>4.4999999999999998E-2</v>
      </c>
      <c r="G19" s="30"/>
      <c r="H19" s="167">
        <f>'FY18 Allocations'!E19</f>
        <v>330651.53999999998</v>
      </c>
      <c r="I19" s="89">
        <f t="shared" si="4"/>
        <v>4348.460000000021</v>
      </c>
      <c r="J19" s="37">
        <f t="shared" si="5"/>
        <v>1.3151186291163262E-2</v>
      </c>
      <c r="M19" s="239"/>
    </row>
    <row r="20" spans="1:14" ht="15.75" customHeight="1" x14ac:dyDescent="0.25">
      <c r="A20" s="342"/>
      <c r="B20" s="342"/>
      <c r="C20" s="24">
        <v>9</v>
      </c>
      <c r="D20" s="39" t="s">
        <v>44</v>
      </c>
      <c r="E20" s="175">
        <f>'FY19 Allocation - Flat Combined'!M20</f>
        <v>80000</v>
      </c>
      <c r="F20" s="37">
        <f t="shared" si="0"/>
        <v>1.0699999999999999E-2</v>
      </c>
      <c r="G20" s="30"/>
      <c r="H20" s="167">
        <f>'FY18 Allocations'!E20</f>
        <v>78939.33</v>
      </c>
      <c r="I20" s="89">
        <f t="shared" si="4"/>
        <v>1060.6699999999983</v>
      </c>
      <c r="J20" s="37">
        <f t="shared" si="5"/>
        <v>1.3436521439946326E-2</v>
      </c>
      <c r="M20" s="239"/>
    </row>
    <row r="21" spans="1:14" ht="15.75" customHeight="1" x14ac:dyDescent="0.25">
      <c r="A21" s="342"/>
      <c r="B21" s="342"/>
      <c r="C21" s="24">
        <v>18</v>
      </c>
      <c r="D21" s="39" t="s">
        <v>45</v>
      </c>
      <c r="E21" s="175">
        <f>'FY19 Allocation - Flat Combined'!M21</f>
        <v>0</v>
      </c>
      <c r="F21" s="37">
        <f t="shared" si="0"/>
        <v>0</v>
      </c>
      <c r="G21" s="30"/>
      <c r="H21" s="167">
        <f>'FY18 Allocations'!E21</f>
        <v>0</v>
      </c>
      <c r="I21" s="89">
        <f t="shared" si="4"/>
        <v>0</v>
      </c>
      <c r="J21" s="37" t="e">
        <f t="shared" si="5"/>
        <v>#DIV/0!</v>
      </c>
    </row>
    <row r="22" spans="1:14" ht="15.75" customHeight="1" x14ac:dyDescent="0.25">
      <c r="A22" s="342"/>
      <c r="B22" s="342"/>
      <c r="C22" s="34">
        <v>3</v>
      </c>
      <c r="D22" s="39" t="s">
        <v>46</v>
      </c>
      <c r="E22" s="175">
        <f>'FY19 Allocation - Flat Combined'!M22</f>
        <v>695000</v>
      </c>
      <c r="F22" s="37">
        <f t="shared" si="0"/>
        <v>9.3299999999999994E-2</v>
      </c>
      <c r="G22" s="30"/>
      <c r="H22" s="167">
        <f>'FY18 Allocations'!E22</f>
        <v>689602.08</v>
      </c>
      <c r="I22" s="89">
        <f t="shared" si="4"/>
        <v>5397.9200000000419</v>
      </c>
      <c r="J22" s="37">
        <f t="shared" si="5"/>
        <v>7.8275865989267928E-3</v>
      </c>
    </row>
    <row r="23" spans="1:14" ht="15.75" customHeight="1" x14ac:dyDescent="0.25">
      <c r="A23" s="342"/>
      <c r="B23" s="342"/>
      <c r="C23" s="34">
        <v>13</v>
      </c>
      <c r="D23" s="39" t="s">
        <v>47</v>
      </c>
      <c r="E23" s="175">
        <f>'FY19 Allocation - Flat Combined'!M23</f>
        <v>30000</v>
      </c>
      <c r="F23" s="37">
        <f t="shared" si="0"/>
        <v>4.0000000000000001E-3</v>
      </c>
      <c r="G23" s="138"/>
      <c r="H23" s="167">
        <v>0</v>
      </c>
      <c r="I23" s="89">
        <f t="shared" si="4"/>
        <v>30000</v>
      </c>
      <c r="J23" s="241" t="s">
        <v>128</v>
      </c>
    </row>
    <row r="24" spans="1:14" ht="15.75" customHeight="1" x14ac:dyDescent="0.25">
      <c r="A24" s="342"/>
      <c r="B24" s="342"/>
      <c r="C24" s="206">
        <v>7</v>
      </c>
      <c r="D24" s="43" t="s">
        <v>48</v>
      </c>
      <c r="E24" s="196">
        <f>'FY19 Allocation - Flat Combined'!M24</f>
        <v>80000</v>
      </c>
      <c r="F24" s="237">
        <f t="shared" si="0"/>
        <v>1.0699999999999999E-2</v>
      </c>
      <c r="G24" s="138"/>
      <c r="H24" s="167">
        <v>0</v>
      </c>
      <c r="I24" s="89">
        <f t="shared" si="4"/>
        <v>80000</v>
      </c>
      <c r="J24" s="241" t="s">
        <v>128</v>
      </c>
    </row>
    <row r="25" spans="1:14" ht="15.75" customHeight="1" x14ac:dyDescent="0.25">
      <c r="A25" s="342"/>
      <c r="B25" s="342"/>
      <c r="C25" s="137">
        <v>19</v>
      </c>
      <c r="D25" s="139" t="s">
        <v>49</v>
      </c>
      <c r="E25" s="178">
        <f>'FY19 Allocation - Flat Combined'!M25</f>
        <v>0</v>
      </c>
      <c r="F25" s="141">
        <f t="shared" si="0"/>
        <v>0</v>
      </c>
      <c r="G25" s="138"/>
      <c r="H25" s="108"/>
      <c r="I25" s="151"/>
      <c r="J25" s="242"/>
    </row>
    <row r="26" spans="1:14" ht="15.75" customHeight="1" x14ac:dyDescent="0.25">
      <c r="A26" s="243"/>
      <c r="B26" s="244"/>
      <c r="C26" s="131"/>
      <c r="D26" s="245" t="s">
        <v>130</v>
      </c>
      <c r="E26" s="246">
        <f t="shared" ref="E26:F26" si="6">SUM(E5:E25)</f>
        <v>7450000</v>
      </c>
      <c r="F26" s="134">
        <f t="shared" si="6"/>
        <v>1</v>
      </c>
      <c r="G26" s="2"/>
      <c r="H26" s="89">
        <f>SUM(H5:H25)</f>
        <v>3832281.11</v>
      </c>
      <c r="I26" s="89">
        <f>E26-H26</f>
        <v>3617718.89</v>
      </c>
      <c r="J26" s="27">
        <f>I26/H26</f>
        <v>0.9440118786066819</v>
      </c>
      <c r="N26" s="239"/>
    </row>
    <row r="27" spans="1:14" ht="15.75" customHeight="1" x14ac:dyDescent="0.25">
      <c r="E27" s="138"/>
      <c r="F27" s="138"/>
      <c r="G27" s="138"/>
    </row>
    <row r="28" spans="1:14" ht="15.75" customHeight="1" x14ac:dyDescent="0.25">
      <c r="G28" s="138"/>
      <c r="H28" s="9"/>
      <c r="I28" s="166"/>
      <c r="J28" s="30"/>
    </row>
    <row r="29" spans="1:14" ht="15.75" customHeight="1" x14ac:dyDescent="0.25">
      <c r="D29" s="2" t="s">
        <v>70</v>
      </c>
      <c r="E29" t="str">
        <f t="shared" ref="E29:E30" si="7">E3</f>
        <v>FY19 SEMHAC Allocation</v>
      </c>
      <c r="H29" t="s">
        <v>131</v>
      </c>
    </row>
    <row r="30" spans="1:14" ht="36.75" customHeight="1" x14ac:dyDescent="0.25">
      <c r="A30" s="5" t="str">
        <f>A4</f>
        <v>FY19               % by type</v>
      </c>
      <c r="B30" s="6" t="s">
        <v>6</v>
      </c>
      <c r="C30" s="5" t="str">
        <f>C4</f>
        <v>FY19 Priority</v>
      </c>
      <c r="D30" s="5" t="s">
        <v>8</v>
      </c>
      <c r="E30" s="14" t="str">
        <f t="shared" si="7"/>
        <v>FY19                          Projected Allocation</v>
      </c>
      <c r="F30" s="14" t="s">
        <v>121</v>
      </c>
      <c r="H30" s="234" t="s">
        <v>65</v>
      </c>
      <c r="I30" s="14" t="s">
        <v>66</v>
      </c>
      <c r="J30" s="14" t="s">
        <v>67</v>
      </c>
    </row>
    <row r="31" spans="1:14" ht="15.75" customHeight="1" x14ac:dyDescent="0.25">
      <c r="A31" s="341">
        <f>SUM(E31:E32)/E33</f>
        <v>1</v>
      </c>
      <c r="B31" s="344" t="s">
        <v>21</v>
      </c>
      <c r="C31" s="24"/>
      <c r="D31" s="131" t="s">
        <v>132</v>
      </c>
      <c r="E31" s="200">
        <f>MROUND('FY19 Allocation - Flat Combined'!M5*'FY18 Allocations'!H31,5000)</f>
        <v>520000</v>
      </c>
      <c r="F31" s="27">
        <f>ROUND(E31/E33,4)</f>
        <v>0.7429</v>
      </c>
      <c r="H31" s="167">
        <f>'FY18 Allocations'!E31</f>
        <v>519417.35</v>
      </c>
      <c r="I31" s="89">
        <f t="shared" ref="I31:I33" si="8">E31-H31</f>
        <v>582.65000000002328</v>
      </c>
      <c r="J31" s="208">
        <f t="shared" ref="J31:J33" si="9">I31/H31</f>
        <v>1.1217376547010287E-3</v>
      </c>
    </row>
    <row r="32" spans="1:14" ht="16.5" customHeight="1" x14ac:dyDescent="0.25">
      <c r="A32" s="343"/>
      <c r="B32" s="343"/>
      <c r="C32" s="73"/>
      <c r="D32" s="139" t="s">
        <v>133</v>
      </c>
      <c r="E32" s="200">
        <f>MROUND('FY19 Allocation - Flat Combined'!M9*'FY18 Allocations'!H32,5000)</f>
        <v>180000</v>
      </c>
      <c r="F32" s="141">
        <f>ROUND(E32/E33,4)</f>
        <v>0.2571</v>
      </c>
      <c r="H32" s="247">
        <f>'FY18 Allocations'!E32</f>
        <v>183733.25</v>
      </c>
      <c r="I32" s="155">
        <f t="shared" si="8"/>
        <v>-3733.25</v>
      </c>
      <c r="J32" s="141">
        <f t="shared" si="9"/>
        <v>-2.0318858998031115E-2</v>
      </c>
    </row>
    <row r="33" spans="1:10" ht="15.75" customHeight="1" x14ac:dyDescent="0.25">
      <c r="A33" s="129"/>
      <c r="B33" s="130"/>
      <c r="C33" s="131"/>
      <c r="D33" s="245" t="s">
        <v>134</v>
      </c>
      <c r="E33" s="246">
        <f t="shared" ref="E33:F33" si="10">SUM(E31:E32)</f>
        <v>700000</v>
      </c>
      <c r="F33" s="134">
        <f t="shared" si="10"/>
        <v>1</v>
      </c>
      <c r="H33" s="89">
        <f>SUM(H31:H32)</f>
        <v>703150.6</v>
      </c>
      <c r="I33" s="89">
        <f t="shared" si="8"/>
        <v>-3150.5999999999767</v>
      </c>
      <c r="J33" s="248">
        <f t="shared" si="9"/>
        <v>-4.4806901963817944E-3</v>
      </c>
    </row>
    <row r="34" spans="1:10" ht="15.75" customHeight="1" x14ac:dyDescent="0.25">
      <c r="E34" s="138"/>
    </row>
    <row r="35" spans="1:10" ht="15.75" customHeight="1" x14ac:dyDescent="0.25">
      <c r="E35" s="138"/>
    </row>
    <row r="36" spans="1:10" ht="39" customHeight="1" x14ac:dyDescent="0.25">
      <c r="D36" s="7" t="s">
        <v>74</v>
      </c>
      <c r="E36" s="14" t="str">
        <f>E4</f>
        <v>FY19                          Projected Allocation</v>
      </c>
      <c r="F36" s="14" t="s">
        <v>121</v>
      </c>
    </row>
    <row r="37" spans="1:10" ht="15.75" customHeight="1" x14ac:dyDescent="0.25">
      <c r="D37" s="69" t="s">
        <v>76</v>
      </c>
      <c r="E37" s="203">
        <f>SUM(E5:E15)+E33</f>
        <v>6347500</v>
      </c>
      <c r="F37" s="27">
        <f>E37/E39</f>
        <v>0.7788343558282208</v>
      </c>
    </row>
    <row r="38" spans="1:10" ht="16.5" customHeight="1" x14ac:dyDescent="0.25">
      <c r="D38" s="249" t="s">
        <v>79</v>
      </c>
      <c r="E38" s="199">
        <f>SUM(E16:E25)</f>
        <v>1802500</v>
      </c>
      <c r="F38" s="141">
        <f>E38/E39</f>
        <v>0.22116564417177914</v>
      </c>
    </row>
    <row r="39" spans="1:10" ht="15.75" customHeight="1" x14ac:dyDescent="0.25">
      <c r="D39" s="250" t="s">
        <v>80</v>
      </c>
      <c r="E39" s="133">
        <f t="shared" ref="E39:F39" si="11">SUM(E37:E38)</f>
        <v>8150000</v>
      </c>
      <c r="F39" s="134">
        <f t="shared" si="11"/>
        <v>1</v>
      </c>
    </row>
    <row r="40" spans="1:10" ht="15.75" customHeight="1" x14ac:dyDescent="0.25"/>
    <row r="41" spans="1:10" ht="15.75" customHeight="1" x14ac:dyDescent="0.25">
      <c r="A41" s="2" t="s">
        <v>50</v>
      </c>
    </row>
    <row r="42" spans="1:10" ht="30.75" customHeight="1" x14ac:dyDescent="0.25">
      <c r="A42" s="301"/>
      <c r="B42" s="301"/>
      <c r="C42" s="301"/>
      <c r="D42" s="301"/>
      <c r="E42" s="301"/>
      <c r="F42" s="301"/>
    </row>
    <row r="43" spans="1:10" ht="15.75" customHeight="1" x14ac:dyDescent="0.25"/>
    <row r="44" spans="1:10" ht="15.75" customHeight="1" x14ac:dyDescent="0.25"/>
    <row r="45" spans="1:10" ht="16.5" customHeight="1" x14ac:dyDescent="0.25">
      <c r="D45" s="160"/>
    </row>
    <row r="46" spans="1:10" ht="15.75" customHeight="1" x14ac:dyDescent="0.25">
      <c r="A46" s="357" t="s">
        <v>135</v>
      </c>
      <c r="B46" s="352"/>
      <c r="D46" s="253" t="s">
        <v>136</v>
      </c>
      <c r="E46" s="254"/>
    </row>
    <row r="47" spans="1:10" ht="15.75" customHeight="1" x14ac:dyDescent="0.25">
      <c r="A47" s="353"/>
      <c r="B47" s="354"/>
      <c r="D47" s="255" t="s">
        <v>137</v>
      </c>
      <c r="E47" s="256">
        <f>E26</f>
        <v>7450000</v>
      </c>
    </row>
    <row r="48" spans="1:10" ht="15.75" customHeight="1" x14ac:dyDescent="0.25">
      <c r="A48" s="353"/>
      <c r="B48" s="354"/>
      <c r="D48" s="260" t="s">
        <v>138</v>
      </c>
      <c r="E48" s="261">
        <f>'FY18 Allocations'!E26</f>
        <v>7447106.7000000011</v>
      </c>
      <c r="F48" s="138"/>
      <c r="G48" s="138"/>
    </row>
    <row r="49" spans="1:10" ht="15.75" customHeight="1" x14ac:dyDescent="0.25">
      <c r="A49" s="353"/>
      <c r="B49" s="354"/>
      <c r="D49" s="255" t="s">
        <v>139</v>
      </c>
      <c r="E49" s="263">
        <f>E47-E48</f>
        <v>2893.2999999988824</v>
      </c>
      <c r="F49" s="165"/>
      <c r="G49" s="138"/>
      <c r="H49" s="9"/>
      <c r="I49" s="166"/>
      <c r="J49" s="30"/>
    </row>
    <row r="50" spans="1:10" ht="15.75" customHeight="1" x14ac:dyDescent="0.25">
      <c r="A50" s="353"/>
      <c r="B50" s="354"/>
      <c r="D50" s="264"/>
      <c r="E50" s="265"/>
    </row>
    <row r="51" spans="1:10" ht="15.75" customHeight="1" x14ac:dyDescent="0.25">
      <c r="A51" s="353"/>
      <c r="B51" s="354"/>
      <c r="D51" s="255" t="s">
        <v>140</v>
      </c>
      <c r="E51" s="256">
        <f>E33</f>
        <v>700000</v>
      </c>
    </row>
    <row r="52" spans="1:10" ht="15.75" customHeight="1" x14ac:dyDescent="0.25">
      <c r="A52" s="353"/>
      <c r="B52" s="354"/>
      <c r="D52" s="260" t="s">
        <v>141</v>
      </c>
      <c r="E52" s="261">
        <f>'FY18 Allocations'!E33</f>
        <v>703150.6</v>
      </c>
    </row>
    <row r="53" spans="1:10" ht="15.75" customHeight="1" x14ac:dyDescent="0.25">
      <c r="A53" s="353"/>
      <c r="B53" s="354"/>
      <c r="D53" s="255" t="s">
        <v>142</v>
      </c>
      <c r="E53" s="263">
        <f>E51-E52</f>
        <v>-3150.5999999999767</v>
      </c>
    </row>
    <row r="54" spans="1:10" ht="15.75" customHeight="1" x14ac:dyDescent="0.25">
      <c r="A54" s="353"/>
      <c r="B54" s="354"/>
      <c r="D54" s="255"/>
      <c r="E54" s="263"/>
    </row>
    <row r="55" spans="1:10" ht="15.75" customHeight="1" x14ac:dyDescent="0.25">
      <c r="A55" s="355"/>
      <c r="B55" s="356"/>
      <c r="D55" s="266" t="s">
        <v>143</v>
      </c>
      <c r="E55" s="267">
        <f>E49+E53</f>
        <v>-257.3000000010943</v>
      </c>
    </row>
    <row r="56" spans="1:10" ht="15.75" customHeight="1" x14ac:dyDescent="0.25">
      <c r="D56" s="255"/>
      <c r="E56" s="265"/>
    </row>
    <row r="57" spans="1:10" ht="15.75" customHeight="1" x14ac:dyDescent="0.25">
      <c r="D57" s="255" t="s">
        <v>144</v>
      </c>
      <c r="E57" s="256">
        <f>E26+E33</f>
        <v>8150000</v>
      </c>
      <c r="H57" s="268"/>
    </row>
    <row r="58" spans="1:10" ht="15.75" customHeight="1" x14ac:dyDescent="0.25">
      <c r="D58" s="274" t="s">
        <v>145</v>
      </c>
      <c r="E58" s="261">
        <f>ROUND('FY18 Allocations'!E40,0)</f>
        <v>8150257</v>
      </c>
      <c r="H58" s="138"/>
    </row>
    <row r="59" spans="1:10" ht="15.75" customHeight="1" x14ac:dyDescent="0.25">
      <c r="D59" s="266" t="s">
        <v>147</v>
      </c>
      <c r="E59" s="267">
        <f>E57-E58</f>
        <v>-257</v>
      </c>
      <c r="H59" s="9"/>
    </row>
    <row r="60" spans="1:10" ht="15.75" customHeight="1" x14ac:dyDescent="0.25">
      <c r="D60" s="264"/>
      <c r="E60" s="265"/>
    </row>
    <row r="61" spans="1:10" ht="15.75" customHeight="1" x14ac:dyDescent="0.25">
      <c r="D61" s="361" t="s">
        <v>148</v>
      </c>
      <c r="E61" s="358"/>
    </row>
    <row r="62" spans="1:10" ht="15.75" customHeight="1" x14ac:dyDescent="0.25">
      <c r="D62" s="359"/>
      <c r="E62" s="360"/>
    </row>
    <row r="63" spans="1:10" ht="16.5" customHeight="1" x14ac:dyDescent="0.25">
      <c r="D63" s="282"/>
      <c r="E63" s="284"/>
    </row>
    <row r="64" spans="1:10" ht="15.75" customHeight="1" x14ac:dyDescent="0.25">
      <c r="D64" s="286"/>
      <c r="E64" s="254"/>
    </row>
    <row r="65" spans="4:5" ht="15.75" customHeight="1" x14ac:dyDescent="0.25">
      <c r="D65" s="287" t="s">
        <v>150</v>
      </c>
      <c r="E65" s="265"/>
    </row>
    <row r="66" spans="4:5" ht="15.75" customHeight="1" x14ac:dyDescent="0.25">
      <c r="D66" s="264" t="s">
        <v>151</v>
      </c>
      <c r="E66" s="256">
        <f>E5+E31</f>
        <v>2460000</v>
      </c>
    </row>
    <row r="67" spans="4:5" ht="15.75" customHeight="1" x14ac:dyDescent="0.25">
      <c r="D67" s="264" t="s">
        <v>152</v>
      </c>
      <c r="E67" s="261">
        <f>'FY19 Allocation - Flat Combined'!M5</f>
        <v>2460000</v>
      </c>
    </row>
    <row r="68" spans="4:5" ht="15.75" customHeight="1" x14ac:dyDescent="0.25">
      <c r="D68" s="264" t="s">
        <v>153</v>
      </c>
      <c r="E68" s="256">
        <f>E66-E67</f>
        <v>0</v>
      </c>
    </row>
    <row r="69" spans="4:5" ht="15.75" customHeight="1" x14ac:dyDescent="0.25">
      <c r="D69" s="264"/>
      <c r="E69" s="256"/>
    </row>
    <row r="70" spans="4:5" ht="15.75" customHeight="1" x14ac:dyDescent="0.25">
      <c r="D70" s="264" t="s">
        <v>154</v>
      </c>
      <c r="E70" s="256">
        <f>E8+E32</f>
        <v>180000</v>
      </c>
    </row>
    <row r="71" spans="4:5" ht="15.75" customHeight="1" x14ac:dyDescent="0.25">
      <c r="D71" s="264" t="s">
        <v>155</v>
      </c>
      <c r="E71" s="261">
        <f>'FY19 Allocation - Flat Combined'!M8</f>
        <v>0</v>
      </c>
    </row>
    <row r="72" spans="4:5" ht="16.5" customHeight="1" x14ac:dyDescent="0.25">
      <c r="D72" s="289" t="s">
        <v>153</v>
      </c>
      <c r="E72" s="291">
        <f>E70-E71</f>
        <v>180000</v>
      </c>
    </row>
    <row r="73" spans="4:5" ht="15.75" customHeight="1" x14ac:dyDescent="0.25"/>
    <row r="74" spans="4:5" ht="15.75" customHeight="1" x14ac:dyDescent="0.25"/>
    <row r="75" spans="4:5" ht="15.75" customHeight="1" x14ac:dyDescent="0.25"/>
    <row r="76" spans="4:5" ht="15.75" customHeight="1" x14ac:dyDescent="0.25"/>
    <row r="77" spans="4:5" ht="15.75" customHeight="1" x14ac:dyDescent="0.25"/>
    <row r="78" spans="4:5" ht="15.75" customHeight="1" x14ac:dyDescent="0.25"/>
    <row r="79" spans="4:5" ht="15.75" customHeight="1" x14ac:dyDescent="0.25"/>
    <row r="80" spans="4:5"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B16" sqref="B16:B25"/>
    </sheetView>
  </sheetViews>
  <sheetFormatPr defaultColWidth="11.25" defaultRowHeight="15" customHeight="1" x14ac:dyDescent="0.25"/>
  <cols>
    <col min="1" max="1" width="11.125" customWidth="1"/>
    <col min="2" max="2" width="9.625" customWidth="1"/>
    <col min="3" max="3" width="12.75" customWidth="1"/>
    <col min="4" max="4" width="45.625" customWidth="1"/>
    <col min="5" max="5" width="15" customWidth="1"/>
    <col min="6" max="6" width="10.875" hidden="1" customWidth="1"/>
    <col min="7" max="7" width="3.5" hidden="1" customWidth="1"/>
    <col min="8" max="8" width="14" customWidth="1"/>
    <col min="9" max="9" width="16.625" hidden="1" customWidth="1"/>
    <col min="10" max="11" width="10.875" hidden="1" customWidth="1"/>
    <col min="12" max="13" width="15.5" customWidth="1"/>
    <col min="14" max="15" width="11.125" customWidth="1"/>
    <col min="16" max="16" width="14.875" customWidth="1"/>
    <col min="17" max="17" width="14.5" customWidth="1"/>
    <col min="18" max="26" width="15.125" customWidth="1"/>
  </cols>
  <sheetData>
    <row r="1" spans="1:26" ht="15.75" customHeight="1" x14ac:dyDescent="0.25">
      <c r="A1" s="1" t="s">
        <v>122</v>
      </c>
    </row>
    <row r="2" spans="1:26" ht="18.75" customHeight="1" x14ac:dyDescent="0.3">
      <c r="A2" s="235"/>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5">
      <c r="H3" s="2"/>
      <c r="I3" t="s">
        <v>89</v>
      </c>
    </row>
    <row r="4" spans="1:26" ht="72.75" customHeight="1" x14ac:dyDescent="0.25">
      <c r="A4" s="14" t="s">
        <v>90</v>
      </c>
      <c r="B4" s="6" t="s">
        <v>6</v>
      </c>
      <c r="C4" s="5" t="s">
        <v>91</v>
      </c>
      <c r="D4" s="5" t="s">
        <v>8</v>
      </c>
      <c r="E4" s="14" t="s">
        <v>92</v>
      </c>
      <c r="F4" s="173" t="s">
        <v>62</v>
      </c>
      <c r="G4" s="173" t="s">
        <v>93</v>
      </c>
      <c r="H4" s="174" t="s">
        <v>101</v>
      </c>
      <c r="I4" s="176" t="s">
        <v>65</v>
      </c>
      <c r="J4" s="174" t="s">
        <v>66</v>
      </c>
      <c r="K4" s="174" t="s">
        <v>67</v>
      </c>
      <c r="L4" s="178" t="s">
        <v>102</v>
      </c>
      <c r="M4" s="14" t="s">
        <v>123</v>
      </c>
      <c r="N4" s="14" t="s">
        <v>124</v>
      </c>
      <c r="O4" s="14" t="s">
        <v>125</v>
      </c>
      <c r="P4" s="14" t="s">
        <v>126</v>
      </c>
      <c r="Q4" s="14" t="s">
        <v>127</v>
      </c>
    </row>
    <row r="5" spans="1:26" ht="31.5" customHeight="1" x14ac:dyDescent="0.25">
      <c r="A5" s="350">
        <f>SUM(Q5:Q15)/Q26</f>
        <v>0.77511682242990654</v>
      </c>
      <c r="B5" s="344" t="s">
        <v>21</v>
      </c>
      <c r="C5" s="24">
        <v>2</v>
      </c>
      <c r="D5" s="16" t="s">
        <v>22</v>
      </c>
      <c r="E5" s="180">
        <f>'FY19 Allocation - Flat Combined'!E5</f>
        <v>2461622.79</v>
      </c>
      <c r="F5" s="182" t="e">
        <f t="shared" ref="F5:F13" si="0">#REF!/#REF!</f>
        <v>#REF!</v>
      </c>
      <c r="G5" s="184" t="e">
        <f>MROUND(#REF!*'FY18 Allocations'!H5,10000)</f>
        <v>#REF!</v>
      </c>
      <c r="H5" s="185">
        <f>'FY19 Allocation - Flat Combined'!H5</f>
        <v>2460000</v>
      </c>
      <c r="I5" s="186">
        <f>'FY19 Allocation - Flat Combined'!I5</f>
        <v>0</v>
      </c>
      <c r="J5" s="185">
        <f>'FY19 Allocation - Flat Combined'!J5</f>
        <v>0</v>
      </c>
      <c r="K5" s="185">
        <f>'FY19 Allocation - Flat Combined'!K5</f>
        <v>0</v>
      </c>
      <c r="L5" s="185">
        <f>'FY19 Allocation - Flat Combined'!L5</f>
        <v>2460000</v>
      </c>
      <c r="M5" s="185">
        <f t="shared" ref="M5:M25" si="1">ROUND((H5+L5)/2,2)</f>
        <v>2460000</v>
      </c>
      <c r="N5" s="185">
        <v>150000</v>
      </c>
      <c r="O5" s="185">
        <v>100000</v>
      </c>
      <c r="P5" s="185">
        <f t="shared" ref="P5:P25" si="2">ROUND((N5+O5)/2,2)</f>
        <v>125000</v>
      </c>
      <c r="Q5" s="200">
        <f t="shared" ref="Q5:Q25" si="3">M5+P5</f>
        <v>2585000</v>
      </c>
    </row>
    <row r="6" spans="1:26" ht="15.75" customHeight="1" x14ac:dyDescent="0.25">
      <c r="A6" s="342"/>
      <c r="B6" s="342"/>
      <c r="C6" s="34">
        <v>14</v>
      </c>
      <c r="D6" s="39" t="s">
        <v>27</v>
      </c>
      <c r="E6" s="38">
        <f>'FY19 Allocation - Flat Combined'!E6</f>
        <v>0</v>
      </c>
      <c r="F6" s="177" t="e">
        <f t="shared" si="0"/>
        <v>#REF!</v>
      </c>
      <c r="G6" s="179" t="e">
        <f t="shared" ref="G6:G7" si="4">#REF!</f>
        <v>#REF!</v>
      </c>
      <c r="H6" s="175">
        <f>'FY19 Allocation - Flat Combined'!H6</f>
        <v>0</v>
      </c>
      <c r="I6" s="189">
        <f>'FY19 Allocation - Flat Combined'!I6</f>
        <v>0</v>
      </c>
      <c r="J6" s="175">
        <f>'FY19 Allocation - Flat Combined'!J6</f>
        <v>0</v>
      </c>
      <c r="K6" s="175">
        <f>'FY19 Allocation - Flat Combined'!K6</f>
        <v>0</v>
      </c>
      <c r="L6" s="175">
        <f>'FY19 Allocation - Flat Combined'!L6</f>
        <v>0</v>
      </c>
      <c r="M6" s="175">
        <f t="shared" si="1"/>
        <v>0</v>
      </c>
      <c r="N6" s="175"/>
      <c r="O6" s="175"/>
      <c r="P6" s="175">
        <f t="shared" si="2"/>
        <v>0</v>
      </c>
      <c r="Q6" s="175">
        <f t="shared" si="3"/>
        <v>0</v>
      </c>
    </row>
    <row r="7" spans="1:26" ht="15.75" customHeight="1" x14ac:dyDescent="0.25">
      <c r="A7" s="342"/>
      <c r="B7" s="342"/>
      <c r="C7" s="181" t="s">
        <v>104</v>
      </c>
      <c r="D7" s="190" t="s">
        <v>28</v>
      </c>
      <c r="E7" s="191">
        <f>'FY19 Allocation - Flat Combined'!E7</f>
        <v>0</v>
      </c>
      <c r="F7" s="183" t="e">
        <f t="shared" si="0"/>
        <v>#REF!</v>
      </c>
      <c r="G7" s="103" t="e">
        <f t="shared" si="4"/>
        <v>#REF!</v>
      </c>
      <c r="H7" s="103">
        <f>'FY19 Allocation - Flat Combined'!H7</f>
        <v>0</v>
      </c>
      <c r="I7" s="103">
        <f>'FY19 Allocation - Flat Combined'!I7</f>
        <v>0</v>
      </c>
      <c r="J7" s="103">
        <f>'FY19 Allocation - Flat Combined'!J7</f>
        <v>0</v>
      </c>
      <c r="K7" s="103">
        <f>'FY19 Allocation - Flat Combined'!K7</f>
        <v>0</v>
      </c>
      <c r="L7" s="103">
        <f>'FY19 Allocation - Flat Combined'!L7</f>
        <v>0</v>
      </c>
      <c r="M7" s="103">
        <f t="shared" si="1"/>
        <v>0</v>
      </c>
      <c r="N7" s="103">
        <v>0</v>
      </c>
      <c r="O7" s="103">
        <v>0</v>
      </c>
      <c r="P7" s="103">
        <f t="shared" si="2"/>
        <v>0</v>
      </c>
      <c r="Q7" s="238">
        <f t="shared" si="3"/>
        <v>0</v>
      </c>
    </row>
    <row r="8" spans="1:26" ht="17.25" customHeight="1" x14ac:dyDescent="0.25">
      <c r="A8" s="342"/>
      <c r="B8" s="342"/>
      <c r="C8" s="34">
        <v>17</v>
      </c>
      <c r="D8" s="39" t="s">
        <v>29</v>
      </c>
      <c r="E8" s="38">
        <f>'FY19 Allocation - Flat Combined'!E8</f>
        <v>0</v>
      </c>
      <c r="F8" s="177" t="e">
        <f t="shared" si="0"/>
        <v>#REF!</v>
      </c>
      <c r="G8" s="179" t="e">
        <f>MROUND(#REF!*'FY18 Allocations'!H8,10000)</f>
        <v>#REF!</v>
      </c>
      <c r="H8" s="175">
        <f>'FY19 Allocation - Flat Combined'!H8</f>
        <v>0</v>
      </c>
      <c r="I8" s="189">
        <f>'FY19 Allocation - Flat Combined'!I8</f>
        <v>0</v>
      </c>
      <c r="J8" s="175">
        <f>'FY19 Allocation - Flat Combined'!J8</f>
        <v>0</v>
      </c>
      <c r="K8" s="175">
        <f>'FY19 Allocation - Flat Combined'!K8</f>
        <v>0</v>
      </c>
      <c r="L8" s="175">
        <f>'FY19 Allocation - Flat Combined'!L8</f>
        <v>0</v>
      </c>
      <c r="M8" s="175">
        <f t="shared" si="1"/>
        <v>0</v>
      </c>
      <c r="N8" s="175"/>
      <c r="O8" s="175"/>
      <c r="P8" s="175">
        <f t="shared" si="2"/>
        <v>0</v>
      </c>
      <c r="Q8" s="175">
        <f t="shared" si="3"/>
        <v>0</v>
      </c>
    </row>
    <row r="9" spans="1:26" ht="15.75" customHeight="1" x14ac:dyDescent="0.25">
      <c r="A9" s="342"/>
      <c r="B9" s="342"/>
      <c r="C9" s="41">
        <v>1</v>
      </c>
      <c r="D9" s="43" t="s">
        <v>31</v>
      </c>
      <c r="E9" s="142">
        <f>'FY19 Allocation - Flat Combined'!E9</f>
        <v>1553256.17</v>
      </c>
      <c r="F9" s="193" t="e">
        <f t="shared" si="0"/>
        <v>#REF!</v>
      </c>
      <c r="G9" s="195" t="e">
        <f t="shared" ref="G9:G13" si="5">#REF!</f>
        <v>#REF!</v>
      </c>
      <c r="H9" s="196">
        <f>'FY19 Allocation - Flat Combined'!H9</f>
        <v>1500000</v>
      </c>
      <c r="I9" s="197">
        <f>'FY19 Allocation - Flat Combined'!I9</f>
        <v>0</v>
      </c>
      <c r="J9" s="196">
        <f>'FY19 Allocation - Flat Combined'!J9</f>
        <v>0</v>
      </c>
      <c r="K9" s="196">
        <f>'FY19 Allocation - Flat Combined'!K9</f>
        <v>0</v>
      </c>
      <c r="L9" s="196">
        <f>'FY19 Allocation - Flat Combined'!L9</f>
        <v>1550000</v>
      </c>
      <c r="M9" s="196">
        <f t="shared" si="1"/>
        <v>1525000</v>
      </c>
      <c r="N9" s="196">
        <v>150000</v>
      </c>
      <c r="O9" s="196">
        <v>100000</v>
      </c>
      <c r="P9" s="196">
        <f t="shared" si="2"/>
        <v>125000</v>
      </c>
      <c r="Q9" s="200">
        <f t="shared" si="3"/>
        <v>1650000</v>
      </c>
      <c r="R9" s="2"/>
      <c r="S9" s="2"/>
      <c r="T9" s="2"/>
      <c r="U9" s="2"/>
      <c r="V9" s="2"/>
      <c r="W9" s="2"/>
      <c r="X9" s="2"/>
      <c r="Y9" s="2"/>
      <c r="Z9" s="2"/>
    </row>
    <row r="10" spans="1:26" ht="15.75" customHeight="1" x14ac:dyDescent="0.25">
      <c r="A10" s="342"/>
      <c r="B10" s="342"/>
      <c r="C10" s="34">
        <v>10</v>
      </c>
      <c r="D10" s="39" t="s">
        <v>32</v>
      </c>
      <c r="E10" s="38">
        <f>'FY19 Allocation - Flat Combined'!E10</f>
        <v>4468.26</v>
      </c>
      <c r="F10" s="177" t="e">
        <f t="shared" si="0"/>
        <v>#REF!</v>
      </c>
      <c r="G10" s="179" t="e">
        <f t="shared" si="5"/>
        <v>#REF!</v>
      </c>
      <c r="H10" s="175">
        <f>'FY19 Allocation - Flat Combined'!H10</f>
        <v>5000</v>
      </c>
      <c r="I10" s="189">
        <f>'FY19 Allocation - Flat Combined'!I10</f>
        <v>0</v>
      </c>
      <c r="J10" s="175">
        <f>'FY19 Allocation - Flat Combined'!J10</f>
        <v>0</v>
      </c>
      <c r="K10" s="175">
        <f>'FY19 Allocation - Flat Combined'!K10</f>
        <v>0</v>
      </c>
      <c r="L10" s="175">
        <f>'FY19 Allocation - Flat Combined'!L10</f>
        <v>5000</v>
      </c>
      <c r="M10" s="175">
        <f t="shared" si="1"/>
        <v>5000</v>
      </c>
      <c r="N10" s="175"/>
      <c r="O10" s="175">
        <v>5000</v>
      </c>
      <c r="P10" s="175">
        <f t="shared" si="2"/>
        <v>2500</v>
      </c>
      <c r="Q10" s="200">
        <f t="shared" si="3"/>
        <v>7500</v>
      </c>
    </row>
    <row r="11" spans="1:26" ht="15.75" customHeight="1" x14ac:dyDescent="0.25">
      <c r="A11" s="342"/>
      <c r="B11" s="342"/>
      <c r="C11" s="34">
        <v>16</v>
      </c>
      <c r="D11" s="39" t="s">
        <v>33</v>
      </c>
      <c r="E11" s="38">
        <f>'FY19 Allocation - Flat Combined'!E11</f>
        <v>18617.77</v>
      </c>
      <c r="F11" s="177" t="e">
        <f t="shared" si="0"/>
        <v>#REF!</v>
      </c>
      <c r="G11" s="179" t="e">
        <f t="shared" si="5"/>
        <v>#REF!</v>
      </c>
      <c r="H11" s="175">
        <f>'FY19 Allocation - Flat Combined'!H11</f>
        <v>20000</v>
      </c>
      <c r="I11" s="189">
        <f>'FY19 Allocation - Flat Combined'!I11</f>
        <v>0</v>
      </c>
      <c r="J11" s="175">
        <f>'FY19 Allocation - Flat Combined'!J11</f>
        <v>0</v>
      </c>
      <c r="K11" s="175">
        <f>'FY19 Allocation - Flat Combined'!K11</f>
        <v>0</v>
      </c>
      <c r="L11" s="175">
        <f>'FY19 Allocation - Flat Combined'!L11</f>
        <v>20000</v>
      </c>
      <c r="M11" s="175">
        <f t="shared" si="1"/>
        <v>20000</v>
      </c>
      <c r="N11" s="175"/>
      <c r="O11" s="175"/>
      <c r="P11" s="175">
        <f t="shared" si="2"/>
        <v>0</v>
      </c>
      <c r="Q11" s="175">
        <f t="shared" si="3"/>
        <v>20000</v>
      </c>
    </row>
    <row r="12" spans="1:26" ht="15.75" customHeight="1" x14ac:dyDescent="0.25">
      <c r="A12" s="342"/>
      <c r="B12" s="342"/>
      <c r="C12" s="34">
        <v>20</v>
      </c>
      <c r="D12" s="39" t="s">
        <v>106</v>
      </c>
      <c r="E12" s="38">
        <f>'FY19 Allocation - Flat Combined'!E12</f>
        <v>0</v>
      </c>
      <c r="F12" s="177" t="e">
        <f t="shared" si="0"/>
        <v>#REF!</v>
      </c>
      <c r="G12" s="179" t="e">
        <f t="shared" si="5"/>
        <v>#REF!</v>
      </c>
      <c r="H12" s="175">
        <f>'FY19 Allocation - Flat Combined'!H12</f>
        <v>0</v>
      </c>
      <c r="I12" s="189">
        <f>'FY19 Allocation - Flat Combined'!I12</f>
        <v>0</v>
      </c>
      <c r="J12" s="175">
        <f>'FY19 Allocation - Flat Combined'!J12</f>
        <v>0</v>
      </c>
      <c r="K12" s="175">
        <f>'FY19 Allocation - Flat Combined'!K12</f>
        <v>0</v>
      </c>
      <c r="L12" s="175">
        <f>'FY19 Allocation - Flat Combined'!L12</f>
        <v>0</v>
      </c>
      <c r="M12" s="175">
        <f t="shared" si="1"/>
        <v>0</v>
      </c>
      <c r="N12" s="175"/>
      <c r="O12" s="175"/>
      <c r="P12" s="175">
        <f t="shared" si="2"/>
        <v>0</v>
      </c>
      <c r="Q12" s="200">
        <f t="shared" si="3"/>
        <v>0</v>
      </c>
    </row>
    <row r="13" spans="1:26" ht="15.75" customHeight="1" x14ac:dyDescent="0.25">
      <c r="A13" s="342"/>
      <c r="B13" s="342"/>
      <c r="C13" s="34">
        <v>8</v>
      </c>
      <c r="D13" s="39" t="s">
        <v>35</v>
      </c>
      <c r="E13" s="38">
        <f>'FY19 Allocation - Flat Combined'!E13</f>
        <v>190645.93</v>
      </c>
      <c r="F13" s="177" t="e">
        <f t="shared" si="0"/>
        <v>#REF!</v>
      </c>
      <c r="G13" s="179" t="e">
        <f t="shared" si="5"/>
        <v>#REF!</v>
      </c>
      <c r="H13" s="175">
        <f>'FY19 Allocation - Flat Combined'!H13</f>
        <v>195000</v>
      </c>
      <c r="I13" s="189">
        <f>'FY19 Allocation - Flat Combined'!I13</f>
        <v>0</v>
      </c>
      <c r="J13" s="175">
        <f>'FY19 Allocation - Flat Combined'!J13</f>
        <v>0</v>
      </c>
      <c r="K13" s="175">
        <f>'FY19 Allocation - Flat Combined'!K13</f>
        <v>0</v>
      </c>
      <c r="L13" s="175">
        <f>'FY19 Allocation - Flat Combined'!L13</f>
        <v>180000</v>
      </c>
      <c r="M13" s="175">
        <f t="shared" si="1"/>
        <v>187500</v>
      </c>
      <c r="N13" s="175">
        <v>5000</v>
      </c>
      <c r="O13" s="175">
        <v>25000</v>
      </c>
      <c r="P13" s="175">
        <f t="shared" si="2"/>
        <v>15000</v>
      </c>
      <c r="Q13" s="175">
        <f t="shared" si="3"/>
        <v>202500</v>
      </c>
      <c r="R13" s="2"/>
      <c r="S13" s="2"/>
      <c r="T13" s="2"/>
      <c r="U13" s="2"/>
      <c r="V13" s="2"/>
      <c r="W13" s="2"/>
      <c r="X13" s="2"/>
      <c r="Y13" s="2"/>
      <c r="Z13" s="2"/>
    </row>
    <row r="14" spans="1:26" ht="15.75" customHeight="1" x14ac:dyDescent="0.25">
      <c r="A14" s="342"/>
      <c r="B14" s="342"/>
      <c r="C14" s="198">
        <v>12</v>
      </c>
      <c r="D14" s="39" t="s">
        <v>36</v>
      </c>
      <c r="E14" s="38">
        <f>'FY19 Allocation - Flat Combined'!E14</f>
        <v>247243.94</v>
      </c>
      <c r="F14" s="177"/>
      <c r="G14" s="179"/>
      <c r="H14" s="175">
        <f>'FY19 Allocation - Flat Combined'!H14</f>
        <v>250000</v>
      </c>
      <c r="I14" s="175">
        <f>'FY19 Allocation - Flat Combined'!I14</f>
        <v>0</v>
      </c>
      <c r="J14" s="175">
        <f>'FY19 Allocation - Flat Combined'!J14</f>
        <v>0</v>
      </c>
      <c r="K14" s="175">
        <f>'FY19 Allocation - Flat Combined'!K14</f>
        <v>0</v>
      </c>
      <c r="L14" s="175">
        <f>'FY19 Allocation - Flat Combined'!L14</f>
        <v>250000</v>
      </c>
      <c r="M14" s="175">
        <f t="shared" si="1"/>
        <v>250000</v>
      </c>
      <c r="N14" s="175"/>
      <c r="O14" s="175"/>
      <c r="P14" s="175">
        <f t="shared" si="2"/>
        <v>0</v>
      </c>
      <c r="Q14" s="196">
        <f t="shared" si="3"/>
        <v>250000</v>
      </c>
    </row>
    <row r="15" spans="1:26" ht="16.5" customHeight="1" x14ac:dyDescent="0.25">
      <c r="A15" s="343"/>
      <c r="B15" s="343"/>
      <c r="C15" s="137">
        <v>4</v>
      </c>
      <c r="D15" s="7" t="s">
        <v>37</v>
      </c>
      <c r="E15" s="126">
        <f>'FY19 Allocation - Flat Combined'!E15</f>
        <v>1904969.9</v>
      </c>
      <c r="F15" s="7"/>
      <c r="G15" s="7"/>
      <c r="H15" s="178">
        <f>'FY19 Allocation - Flat Combined'!H15</f>
        <v>1900000</v>
      </c>
      <c r="I15" s="178">
        <f>'FY19 Allocation - Flat Combined'!I15</f>
        <v>0</v>
      </c>
      <c r="J15" s="178">
        <f>'FY19 Allocation - Flat Combined'!J15</f>
        <v>0</v>
      </c>
      <c r="K15" s="178">
        <f>'FY19 Allocation - Flat Combined'!K15</f>
        <v>0</v>
      </c>
      <c r="L15" s="178">
        <f>'FY19 Allocation - Flat Combined'!L15</f>
        <v>1900000</v>
      </c>
      <c r="M15" s="178">
        <f t="shared" si="1"/>
        <v>1900000</v>
      </c>
      <c r="N15" s="178"/>
      <c r="O15" s="178">
        <v>40000</v>
      </c>
      <c r="P15" s="178">
        <f t="shared" si="2"/>
        <v>20000</v>
      </c>
      <c r="Q15" s="178">
        <f t="shared" si="3"/>
        <v>1920000</v>
      </c>
    </row>
    <row r="16" spans="1:26" ht="15.75" customHeight="1" x14ac:dyDescent="0.25">
      <c r="A16" s="350">
        <f>SUM(Q16:Q25)/Q26</f>
        <v>0.22488317757009346</v>
      </c>
      <c r="B16" s="344" t="s">
        <v>39</v>
      </c>
      <c r="C16" s="24">
        <v>11</v>
      </c>
      <c r="D16" s="131" t="s">
        <v>40</v>
      </c>
      <c r="E16" s="20">
        <f>'FY19 Allocation - Flat Combined'!E16</f>
        <v>116174.86</v>
      </c>
      <c r="F16" s="201" t="e">
        <f t="shared" ref="F16:F25" si="6">#REF!/#REF!</f>
        <v>#REF!</v>
      </c>
      <c r="G16" s="202" t="e">
        <f t="shared" ref="G16:G25" si="7">#REF!</f>
        <v>#REF!</v>
      </c>
      <c r="H16" s="200">
        <f>'FY19 Allocation - Flat Combined'!H16</f>
        <v>120000</v>
      </c>
      <c r="I16" s="204">
        <f>'FY19 Allocation - Flat Combined'!I16</f>
        <v>0</v>
      </c>
      <c r="J16" s="200">
        <f>'FY19 Allocation - Flat Combined'!J16</f>
        <v>0</v>
      </c>
      <c r="K16" s="200">
        <f>'FY19 Allocation - Flat Combined'!K16</f>
        <v>0</v>
      </c>
      <c r="L16" s="200">
        <f>'FY19 Allocation - Flat Combined'!L16</f>
        <v>115000</v>
      </c>
      <c r="M16" s="200">
        <f t="shared" si="1"/>
        <v>117500</v>
      </c>
      <c r="N16" s="200">
        <v>25000</v>
      </c>
      <c r="O16" s="200"/>
      <c r="P16" s="200">
        <f t="shared" si="2"/>
        <v>12500</v>
      </c>
      <c r="Q16" s="200">
        <f t="shared" si="3"/>
        <v>130000</v>
      </c>
    </row>
    <row r="17" spans="1:19" ht="15.75" customHeight="1" x14ac:dyDescent="0.25">
      <c r="A17" s="342"/>
      <c r="B17" s="342"/>
      <c r="C17" s="24">
        <v>15</v>
      </c>
      <c r="D17" s="39" t="s">
        <v>41</v>
      </c>
      <c r="E17" s="38">
        <f>'FY19 Allocation - Flat Combined'!E17</f>
        <v>0</v>
      </c>
      <c r="F17" s="177" t="e">
        <f t="shared" si="6"/>
        <v>#REF!</v>
      </c>
      <c r="G17" s="179" t="e">
        <f t="shared" si="7"/>
        <v>#REF!</v>
      </c>
      <c r="H17" s="175">
        <f>'FY19 Allocation - Flat Combined'!H17</f>
        <v>0</v>
      </c>
      <c r="I17" s="189">
        <f>'FY19 Allocation - Flat Combined'!I17</f>
        <v>0</v>
      </c>
      <c r="J17" s="175">
        <f>'FY19 Allocation - Flat Combined'!J17</f>
        <v>0</v>
      </c>
      <c r="K17" s="175">
        <f>'FY19 Allocation - Flat Combined'!K17</f>
        <v>0</v>
      </c>
      <c r="L17" s="175">
        <f>'FY19 Allocation - Flat Combined'!L17</f>
        <v>0</v>
      </c>
      <c r="M17" s="175">
        <f t="shared" si="1"/>
        <v>0</v>
      </c>
      <c r="N17" s="175"/>
      <c r="O17" s="175"/>
      <c r="P17" s="175">
        <f t="shared" si="2"/>
        <v>0</v>
      </c>
      <c r="Q17" s="200">
        <f t="shared" si="3"/>
        <v>0</v>
      </c>
    </row>
    <row r="18" spans="1:19" ht="15.75" customHeight="1" x14ac:dyDescent="0.25">
      <c r="A18" s="342"/>
      <c r="B18" s="342"/>
      <c r="C18" s="24">
        <v>5</v>
      </c>
      <c r="D18" s="39" t="s">
        <v>42</v>
      </c>
      <c r="E18" s="38">
        <f>'FY19 Allocation - Flat Combined'!E18</f>
        <v>460975.9</v>
      </c>
      <c r="F18" s="177" t="e">
        <f t="shared" si="6"/>
        <v>#REF!</v>
      </c>
      <c r="G18" s="179" t="e">
        <f t="shared" si="7"/>
        <v>#REF!</v>
      </c>
      <c r="H18" s="175">
        <f>'FY19 Allocation - Flat Combined'!H18</f>
        <v>470000</v>
      </c>
      <c r="I18" s="189">
        <f>'FY19 Allocation - Flat Combined'!I18</f>
        <v>0</v>
      </c>
      <c r="J18" s="175">
        <f>'FY19 Allocation - Flat Combined'!J18</f>
        <v>0</v>
      </c>
      <c r="K18" s="175">
        <f>'FY19 Allocation - Flat Combined'!K18</f>
        <v>0</v>
      </c>
      <c r="L18" s="175">
        <f>'FY19 Allocation - Flat Combined'!L18</f>
        <v>460000</v>
      </c>
      <c r="M18" s="175">
        <f t="shared" si="1"/>
        <v>465000</v>
      </c>
      <c r="N18" s="175"/>
      <c r="O18" s="175">
        <v>40000</v>
      </c>
      <c r="P18" s="175">
        <f t="shared" si="2"/>
        <v>20000</v>
      </c>
      <c r="Q18" s="175">
        <f t="shared" si="3"/>
        <v>485000</v>
      </c>
    </row>
    <row r="19" spans="1:19" ht="15.75" customHeight="1" x14ac:dyDescent="0.25">
      <c r="A19" s="342"/>
      <c r="B19" s="342"/>
      <c r="C19" s="24">
        <v>6</v>
      </c>
      <c r="D19" s="39" t="s">
        <v>43</v>
      </c>
      <c r="E19" s="38">
        <f>'FY19 Allocation - Flat Combined'!E19</f>
        <v>330651.53999999998</v>
      </c>
      <c r="F19" s="177" t="e">
        <f t="shared" si="6"/>
        <v>#REF!</v>
      </c>
      <c r="G19" s="179" t="e">
        <f t="shared" si="7"/>
        <v>#REF!</v>
      </c>
      <c r="H19" s="175">
        <f>'FY19 Allocation - Flat Combined'!H19</f>
        <v>340000</v>
      </c>
      <c r="I19" s="189">
        <f>'FY19 Allocation - Flat Combined'!I19</f>
        <v>0</v>
      </c>
      <c r="J19" s="175">
        <f>'FY19 Allocation - Flat Combined'!J19</f>
        <v>0</v>
      </c>
      <c r="K19" s="175">
        <f>'FY19 Allocation - Flat Combined'!K19</f>
        <v>0</v>
      </c>
      <c r="L19" s="175">
        <f>'FY19 Allocation - Flat Combined'!L19</f>
        <v>330000</v>
      </c>
      <c r="M19" s="175">
        <f t="shared" si="1"/>
        <v>335000</v>
      </c>
      <c r="N19" s="175"/>
      <c r="O19" s="175"/>
      <c r="P19" s="175">
        <f t="shared" si="2"/>
        <v>0</v>
      </c>
      <c r="Q19" s="200">
        <f t="shared" si="3"/>
        <v>335000</v>
      </c>
    </row>
    <row r="20" spans="1:19" ht="15.75" customHeight="1" x14ac:dyDescent="0.25">
      <c r="A20" s="342"/>
      <c r="B20" s="342"/>
      <c r="C20" s="24">
        <v>9</v>
      </c>
      <c r="D20" s="39" t="s">
        <v>44</v>
      </c>
      <c r="E20" s="38">
        <f>'FY19 Allocation - Flat Combined'!E20</f>
        <v>78939.33</v>
      </c>
      <c r="F20" s="177" t="e">
        <f t="shared" si="6"/>
        <v>#REF!</v>
      </c>
      <c r="G20" s="179" t="e">
        <f t="shared" si="7"/>
        <v>#REF!</v>
      </c>
      <c r="H20" s="175">
        <f>'FY19 Allocation - Flat Combined'!H20</f>
        <v>80000</v>
      </c>
      <c r="I20" s="189">
        <f>'FY19 Allocation - Flat Combined'!I20</f>
        <v>0</v>
      </c>
      <c r="J20" s="175">
        <f>'FY19 Allocation - Flat Combined'!J20</f>
        <v>0</v>
      </c>
      <c r="K20" s="175">
        <f>'FY19 Allocation - Flat Combined'!K20</f>
        <v>0</v>
      </c>
      <c r="L20" s="175">
        <f>'FY19 Allocation - Flat Combined'!L20</f>
        <v>80000</v>
      </c>
      <c r="M20" s="175">
        <f t="shared" si="1"/>
        <v>80000</v>
      </c>
      <c r="N20" s="175"/>
      <c r="O20" s="175"/>
      <c r="P20" s="175">
        <f t="shared" si="2"/>
        <v>0</v>
      </c>
      <c r="Q20" s="175">
        <f t="shared" si="3"/>
        <v>80000</v>
      </c>
    </row>
    <row r="21" spans="1:19" ht="15.75" customHeight="1" x14ac:dyDescent="0.25">
      <c r="A21" s="342"/>
      <c r="B21" s="342"/>
      <c r="C21" s="24">
        <v>18</v>
      </c>
      <c r="D21" s="39" t="s">
        <v>45</v>
      </c>
      <c r="E21" s="38">
        <f>'FY19 Allocation - Flat Combined'!E21</f>
        <v>0</v>
      </c>
      <c r="F21" s="177" t="e">
        <f t="shared" si="6"/>
        <v>#REF!</v>
      </c>
      <c r="G21" s="179" t="e">
        <f t="shared" si="7"/>
        <v>#REF!</v>
      </c>
      <c r="H21" s="175">
        <f>'FY19 Allocation - Flat Combined'!H21</f>
        <v>0</v>
      </c>
      <c r="I21" s="189">
        <f>'FY19 Allocation - Flat Combined'!I21</f>
        <v>0</v>
      </c>
      <c r="J21" s="175">
        <f>'FY19 Allocation - Flat Combined'!J21</f>
        <v>0</v>
      </c>
      <c r="K21" s="175">
        <f>'FY19 Allocation - Flat Combined'!K21</f>
        <v>0</v>
      </c>
      <c r="L21" s="175">
        <f>'FY19 Allocation - Flat Combined'!L21</f>
        <v>0</v>
      </c>
      <c r="M21" s="175">
        <f t="shared" si="1"/>
        <v>0</v>
      </c>
      <c r="N21" s="175"/>
      <c r="O21" s="175"/>
      <c r="P21" s="175">
        <f t="shared" si="2"/>
        <v>0</v>
      </c>
      <c r="Q21" s="200">
        <f t="shared" si="3"/>
        <v>0</v>
      </c>
    </row>
    <row r="22" spans="1:19" ht="15.75" customHeight="1" x14ac:dyDescent="0.25">
      <c r="A22" s="342"/>
      <c r="B22" s="342"/>
      <c r="C22" s="34">
        <v>3</v>
      </c>
      <c r="D22" s="39" t="s">
        <v>46</v>
      </c>
      <c r="E22" s="38">
        <f>'FY19 Allocation - Flat Combined'!E22</f>
        <v>689602.08</v>
      </c>
      <c r="F22" s="177" t="e">
        <f t="shared" si="6"/>
        <v>#REF!</v>
      </c>
      <c r="G22" s="179" t="e">
        <f t="shared" si="7"/>
        <v>#REF!</v>
      </c>
      <c r="H22" s="175">
        <f>'FY19 Allocation - Flat Combined'!H22</f>
        <v>690000</v>
      </c>
      <c r="I22" s="189">
        <f>'FY19 Allocation - Flat Combined'!I22</f>
        <v>0</v>
      </c>
      <c r="J22" s="175">
        <f>'FY19 Allocation - Flat Combined'!J22</f>
        <v>0</v>
      </c>
      <c r="K22" s="175">
        <f>'FY19 Allocation - Flat Combined'!K22</f>
        <v>0</v>
      </c>
      <c r="L22" s="175">
        <f>'FY19 Allocation - Flat Combined'!L22</f>
        <v>700000</v>
      </c>
      <c r="M22" s="175">
        <f t="shared" si="1"/>
        <v>695000</v>
      </c>
      <c r="N22" s="175"/>
      <c r="O22" s="175">
        <v>100000</v>
      </c>
      <c r="P22" s="175">
        <f t="shared" si="2"/>
        <v>50000</v>
      </c>
      <c r="Q22" s="175">
        <f t="shared" si="3"/>
        <v>745000</v>
      </c>
    </row>
    <row r="23" spans="1:19" ht="15.75" customHeight="1" x14ac:dyDescent="0.25">
      <c r="A23" s="342"/>
      <c r="B23" s="342"/>
      <c r="C23" s="34">
        <v>13</v>
      </c>
      <c r="D23" s="39" t="s">
        <v>47</v>
      </c>
      <c r="E23" s="38">
        <f>'FY19 Allocation - Flat Combined'!E23</f>
        <v>23086.03</v>
      </c>
      <c r="F23" s="177" t="e">
        <f t="shared" si="6"/>
        <v>#REF!</v>
      </c>
      <c r="G23" s="179" t="e">
        <f t="shared" si="7"/>
        <v>#REF!</v>
      </c>
      <c r="H23" s="175">
        <f>'FY19 Allocation - Flat Combined'!H23</f>
        <v>30000</v>
      </c>
      <c r="I23" s="189">
        <f>'FY19 Allocation - Flat Combined'!I23</f>
        <v>0</v>
      </c>
      <c r="J23" s="175">
        <f>'FY19 Allocation - Flat Combined'!J23</f>
        <v>0</v>
      </c>
      <c r="K23" s="175">
        <f>'FY19 Allocation - Flat Combined'!K23</f>
        <v>0</v>
      </c>
      <c r="L23" s="175">
        <f>'FY19 Allocation - Flat Combined'!L23</f>
        <v>30000</v>
      </c>
      <c r="M23" s="175">
        <f t="shared" si="1"/>
        <v>30000</v>
      </c>
      <c r="N23" s="175">
        <v>30000</v>
      </c>
      <c r="O23" s="175"/>
      <c r="P23" s="175">
        <f t="shared" si="2"/>
        <v>15000</v>
      </c>
      <c r="Q23" s="200">
        <f t="shared" si="3"/>
        <v>45000</v>
      </c>
    </row>
    <row r="24" spans="1:19" ht="15.75" customHeight="1" x14ac:dyDescent="0.25">
      <c r="A24" s="342"/>
      <c r="B24" s="342"/>
      <c r="C24" s="206">
        <v>7</v>
      </c>
      <c r="D24" s="43" t="s">
        <v>48</v>
      </c>
      <c r="E24" s="142">
        <f>'FY19 Allocation - Flat Combined'!E24</f>
        <v>70002.8</v>
      </c>
      <c r="F24" s="193" t="e">
        <f t="shared" si="6"/>
        <v>#REF!</v>
      </c>
      <c r="G24" s="195" t="e">
        <f t="shared" si="7"/>
        <v>#REF!</v>
      </c>
      <c r="H24" s="196">
        <f>'FY19 Allocation - Flat Combined'!H24</f>
        <v>90000</v>
      </c>
      <c r="I24" s="197">
        <f>'FY19 Allocation - Flat Combined'!I24</f>
        <v>0</v>
      </c>
      <c r="J24" s="196">
        <f>'FY19 Allocation - Flat Combined'!J24</f>
        <v>0</v>
      </c>
      <c r="K24" s="196">
        <f>'FY19 Allocation - Flat Combined'!K24</f>
        <v>0</v>
      </c>
      <c r="L24" s="196">
        <f>'FY19 Allocation - Flat Combined'!L24</f>
        <v>70000</v>
      </c>
      <c r="M24" s="196">
        <f t="shared" si="1"/>
        <v>80000</v>
      </c>
      <c r="N24" s="196">
        <v>50000</v>
      </c>
      <c r="O24" s="196"/>
      <c r="P24" s="196">
        <f t="shared" si="2"/>
        <v>25000</v>
      </c>
      <c r="Q24" s="196">
        <f t="shared" si="3"/>
        <v>105000</v>
      </c>
    </row>
    <row r="25" spans="1:19" ht="15.75" customHeight="1" x14ac:dyDescent="0.25">
      <c r="A25" s="342"/>
      <c r="B25" s="342"/>
      <c r="C25" s="137">
        <v>19</v>
      </c>
      <c r="D25" s="139" t="s">
        <v>49</v>
      </c>
      <c r="E25" s="126">
        <f>'FY19 Allocation - Flat Combined'!E25</f>
        <v>0</v>
      </c>
      <c r="F25" s="209" t="e">
        <f t="shared" si="6"/>
        <v>#REF!</v>
      </c>
      <c r="G25" s="210" t="e">
        <f t="shared" si="7"/>
        <v>#REF!</v>
      </c>
      <c r="H25" s="178">
        <f>'FY19 Allocation - Flat Combined'!H25</f>
        <v>0</v>
      </c>
      <c r="I25" s="213">
        <f>'FY19 Allocation - Flat Combined'!I25</f>
        <v>0</v>
      </c>
      <c r="J25" s="178">
        <f>'FY19 Allocation - Flat Combined'!J25</f>
        <v>0</v>
      </c>
      <c r="K25" s="178">
        <f>'FY19 Allocation - Flat Combined'!K25</f>
        <v>0</v>
      </c>
      <c r="L25" s="178">
        <f>'FY19 Allocation - Flat Combined'!L25</f>
        <v>0</v>
      </c>
      <c r="M25" s="178">
        <f t="shared" si="1"/>
        <v>0</v>
      </c>
      <c r="N25" s="178"/>
      <c r="O25" s="178"/>
      <c r="P25" s="178">
        <f t="shared" si="2"/>
        <v>0</v>
      </c>
      <c r="Q25" s="178">
        <f t="shared" si="3"/>
        <v>0</v>
      </c>
    </row>
    <row r="26" spans="1:19" ht="15.75" customHeight="1" x14ac:dyDescent="0.25">
      <c r="A26" s="129"/>
      <c r="B26" s="130"/>
      <c r="C26" s="131"/>
      <c r="D26" s="149" t="s">
        <v>69</v>
      </c>
      <c r="E26" s="133">
        <f t="shared" ref="E26:Q26" si="8">SUM(E5:E25)</f>
        <v>8150257.3000000007</v>
      </c>
      <c r="F26" s="216" t="e">
        <f t="shared" si="8"/>
        <v>#REF!</v>
      </c>
      <c r="G26" s="216" t="e">
        <f t="shared" si="8"/>
        <v>#REF!</v>
      </c>
      <c r="H26" s="216">
        <f t="shared" si="8"/>
        <v>8150000</v>
      </c>
      <c r="I26" s="216">
        <f t="shared" si="8"/>
        <v>0</v>
      </c>
      <c r="J26" s="216">
        <f t="shared" si="8"/>
        <v>0</v>
      </c>
      <c r="K26" s="216">
        <f t="shared" si="8"/>
        <v>0</v>
      </c>
      <c r="L26" s="216">
        <f t="shared" si="8"/>
        <v>8150000</v>
      </c>
      <c r="M26" s="216">
        <f t="shared" si="8"/>
        <v>8150000</v>
      </c>
      <c r="N26" s="216">
        <f t="shared" si="8"/>
        <v>410000</v>
      </c>
      <c r="O26" s="216">
        <f t="shared" si="8"/>
        <v>410000</v>
      </c>
      <c r="P26" s="216">
        <f t="shared" si="8"/>
        <v>410000</v>
      </c>
      <c r="Q26" s="216">
        <f t="shared" si="8"/>
        <v>8560000</v>
      </c>
      <c r="R26" s="65">
        <f>'FY18 Allocations'!E40</f>
        <v>8150257.3000000007</v>
      </c>
      <c r="S26" s="251">
        <f t="shared" ref="S26:S27" si="9">(Q26-R26)/R26</f>
        <v>5.0273590749091962E-2</v>
      </c>
    </row>
    <row r="27" spans="1:19" ht="15.75" customHeight="1" x14ac:dyDescent="0.25">
      <c r="A27" s="2"/>
      <c r="D27" s="252" t="s">
        <v>109</v>
      </c>
      <c r="E27" s="220">
        <f t="shared" ref="E27:Q27" si="10">MROUND(E26,10000)</f>
        <v>8150000</v>
      </c>
      <c r="F27" s="220" t="e">
        <f t="shared" si="10"/>
        <v>#REF!</v>
      </c>
      <c r="G27" s="220" t="e">
        <f t="shared" si="10"/>
        <v>#REF!</v>
      </c>
      <c r="H27" s="220">
        <f t="shared" si="10"/>
        <v>8150000</v>
      </c>
      <c r="I27" s="220">
        <f t="shared" si="10"/>
        <v>0</v>
      </c>
      <c r="J27" s="220">
        <f t="shared" si="10"/>
        <v>0</v>
      </c>
      <c r="K27" s="220">
        <f t="shared" si="10"/>
        <v>0</v>
      </c>
      <c r="L27" s="220">
        <f t="shared" si="10"/>
        <v>8150000</v>
      </c>
      <c r="M27" s="220">
        <f t="shared" si="10"/>
        <v>8150000</v>
      </c>
      <c r="N27" s="220">
        <f t="shared" si="10"/>
        <v>410000</v>
      </c>
      <c r="O27" s="220">
        <f t="shared" si="10"/>
        <v>410000</v>
      </c>
      <c r="P27" s="220">
        <f t="shared" si="10"/>
        <v>410000</v>
      </c>
      <c r="Q27" s="220">
        <f t="shared" si="10"/>
        <v>8560000</v>
      </c>
      <c r="R27" s="166">
        <f>'FY19 Allocation - Flat Combined'!$E$29</f>
        <v>8150000</v>
      </c>
      <c r="S27" s="251">
        <f t="shared" si="9"/>
        <v>5.030674846625767E-2</v>
      </c>
    </row>
    <row r="28" spans="1:19" ht="15.75" customHeight="1" x14ac:dyDescent="0.25">
      <c r="D28" s="2"/>
      <c r="E28" s="2"/>
      <c r="F28" s="165"/>
      <c r="G28" s="138" t="e">
        <f>G27+#REF!</f>
        <v>#REF!</v>
      </c>
      <c r="H28" s="138"/>
      <c r="I28" s="9"/>
      <c r="J28" s="166"/>
      <c r="K28" s="30"/>
    </row>
    <row r="29" spans="1:19" ht="15.75" customHeight="1" x14ac:dyDescent="0.25">
      <c r="D29" s="221" t="s">
        <v>110</v>
      </c>
      <c r="E29" s="138">
        <f>MROUND('FY18 Allocations'!E40,10000)</f>
        <v>8150000</v>
      </c>
      <c r="F29" s="165"/>
      <c r="G29" s="165"/>
      <c r="H29" s="138">
        <f>E29</f>
        <v>8150000</v>
      </c>
      <c r="I29" s="9"/>
      <c r="J29" s="166"/>
      <c r="K29" s="30"/>
      <c r="L29" s="138">
        <f>E29</f>
        <v>8150000</v>
      </c>
      <c r="M29" s="138">
        <f>E29</f>
        <v>8150000</v>
      </c>
      <c r="N29" s="138">
        <f>E29</f>
        <v>8150000</v>
      </c>
      <c r="O29" s="138">
        <f>E29</f>
        <v>8150000</v>
      </c>
      <c r="P29" s="257">
        <f>I29</f>
        <v>0</v>
      </c>
      <c r="Q29" s="258">
        <f>E27</f>
        <v>8150000</v>
      </c>
    </row>
    <row r="30" spans="1:19" ht="15.75" customHeight="1" x14ac:dyDescent="0.25">
      <c r="D30" s="67"/>
      <c r="E30" s="138"/>
      <c r="I30" s="2"/>
    </row>
    <row r="31" spans="1:19" ht="15.75" customHeight="1" x14ac:dyDescent="0.25">
      <c r="C31" s="259">
        <f>'Base Allocation Coin Calculatio'!$D$29</f>
        <v>406999.99999999627</v>
      </c>
      <c r="D31" s="67" t="s">
        <v>111</v>
      </c>
      <c r="E31" s="138">
        <f t="shared" ref="E31:Q31" si="11">E27-E29</f>
        <v>0</v>
      </c>
      <c r="F31" s="138" t="e">
        <f t="shared" si="11"/>
        <v>#REF!</v>
      </c>
      <c r="G31" s="138" t="e">
        <f t="shared" si="11"/>
        <v>#REF!</v>
      </c>
      <c r="H31" s="138">
        <f t="shared" si="11"/>
        <v>0</v>
      </c>
      <c r="I31" s="138">
        <f t="shared" si="11"/>
        <v>0</v>
      </c>
      <c r="J31" s="138">
        <f t="shared" si="11"/>
        <v>0</v>
      </c>
      <c r="K31" s="138">
        <f t="shared" si="11"/>
        <v>0</v>
      </c>
      <c r="L31" s="138">
        <f t="shared" si="11"/>
        <v>0</v>
      </c>
      <c r="M31" s="138">
        <f t="shared" si="11"/>
        <v>0</v>
      </c>
      <c r="N31" s="262">
        <f t="shared" si="11"/>
        <v>-7740000</v>
      </c>
      <c r="O31" s="258">
        <f t="shared" si="11"/>
        <v>-7740000</v>
      </c>
      <c r="P31" s="257">
        <f t="shared" si="11"/>
        <v>410000</v>
      </c>
      <c r="Q31" s="258">
        <f t="shared" si="11"/>
        <v>410000</v>
      </c>
      <c r="R31" s="258">
        <f>'Base Allocation Coin Calculatio'!$D$25</f>
        <v>8556999.9999999963</v>
      </c>
      <c r="S31" s="165">
        <f>(Q31-R31)/R31</f>
        <v>-0.95208601145261185</v>
      </c>
    </row>
    <row r="32" spans="1:19" ht="15.75" customHeight="1" x14ac:dyDescent="0.25"/>
    <row r="33" spans="5:7" ht="15.75" customHeight="1" x14ac:dyDescent="0.25">
      <c r="E33" s="9"/>
      <c r="F33" s="9"/>
      <c r="G33" s="9"/>
    </row>
    <row r="34" spans="5:7" ht="15.75" customHeight="1" x14ac:dyDescent="0.25"/>
    <row r="35" spans="5:7" ht="15.75" customHeight="1" x14ac:dyDescent="0.25"/>
    <row r="36" spans="5:7" ht="15.75" customHeight="1" x14ac:dyDescent="0.25"/>
    <row r="37" spans="5:7" ht="15.75" customHeight="1" x14ac:dyDescent="0.25"/>
    <row r="38" spans="5:7" ht="15.75" customHeight="1" x14ac:dyDescent="0.25"/>
    <row r="39" spans="5:7" ht="15.75" customHeight="1" x14ac:dyDescent="0.25"/>
    <row r="40" spans="5:7" ht="15.75" customHeight="1" x14ac:dyDescent="0.25"/>
    <row r="41" spans="5:7" ht="15.75" customHeight="1" x14ac:dyDescent="0.25"/>
    <row r="42" spans="5:7" ht="15.75" customHeight="1" x14ac:dyDescent="0.25"/>
    <row r="43" spans="5:7" ht="15.75" customHeight="1" x14ac:dyDescent="0.25"/>
    <row r="44" spans="5:7" ht="15.75" customHeight="1" x14ac:dyDescent="0.25"/>
    <row r="45" spans="5:7" ht="15.75" customHeight="1" x14ac:dyDescent="0.25"/>
    <row r="46" spans="5:7" ht="15.75" customHeight="1" x14ac:dyDescent="0.25"/>
    <row r="47" spans="5:7" ht="15.75" customHeight="1" x14ac:dyDescent="0.25"/>
    <row r="48" spans="5:7"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3" workbookViewId="0">
      <selection activeCell="B31" sqref="B31:B32"/>
    </sheetView>
  </sheetViews>
  <sheetFormatPr defaultColWidth="11.25" defaultRowHeight="15" customHeight="1" x14ac:dyDescent="0.25"/>
  <cols>
    <col min="1" max="1" width="11.125" customWidth="1"/>
    <col min="2" max="2" width="9.625" customWidth="1"/>
    <col min="3" max="3" width="10.875" customWidth="1"/>
    <col min="4" max="4" width="47.625" customWidth="1"/>
    <col min="5" max="5" width="17.5" customWidth="1"/>
    <col min="6" max="6" width="12.625" customWidth="1"/>
    <col min="7" max="7" width="7.875" customWidth="1"/>
    <col min="8" max="8" width="15" hidden="1" customWidth="1"/>
    <col min="9" max="10" width="10.875" hidden="1" customWidth="1"/>
    <col min="11" max="11" width="15.125" hidden="1" customWidth="1"/>
    <col min="12" max="12" width="15.625" customWidth="1"/>
    <col min="13" max="14" width="11.125" customWidth="1"/>
    <col min="15" max="26" width="15.125" customWidth="1"/>
  </cols>
  <sheetData>
    <row r="1" spans="1:26" ht="18.75" customHeight="1" x14ac:dyDescent="0.3">
      <c r="A1" s="168" t="s">
        <v>129</v>
      </c>
      <c r="B1" s="2"/>
      <c r="C1" s="2"/>
      <c r="D1" s="2"/>
      <c r="E1" s="2"/>
      <c r="F1" s="2"/>
      <c r="G1" s="2"/>
      <c r="H1" s="2"/>
      <c r="I1" s="2"/>
      <c r="J1" s="2"/>
      <c r="K1" s="2"/>
      <c r="L1" s="2"/>
      <c r="M1" s="2"/>
      <c r="N1" s="2"/>
      <c r="O1" s="2"/>
      <c r="P1" s="2"/>
      <c r="Q1" s="2"/>
      <c r="R1" s="2"/>
      <c r="S1" s="2"/>
      <c r="T1" s="2"/>
      <c r="U1" s="2"/>
      <c r="V1" s="2"/>
      <c r="W1" s="2"/>
      <c r="X1" s="2"/>
      <c r="Y1" s="2"/>
      <c r="Z1" s="2"/>
    </row>
    <row r="2" spans="1:26" ht="18.75" customHeight="1" x14ac:dyDescent="0.3">
      <c r="A2" s="1"/>
      <c r="B2" s="168"/>
      <c r="C2" s="2"/>
      <c r="D2" s="2"/>
      <c r="E2" s="2"/>
      <c r="F2" s="2"/>
      <c r="G2" s="2"/>
      <c r="H2" s="2"/>
      <c r="I2" s="2"/>
      <c r="J2" s="2"/>
      <c r="K2" s="2"/>
      <c r="L2" s="2"/>
      <c r="M2" s="2"/>
      <c r="N2" s="2"/>
      <c r="O2" s="2"/>
      <c r="P2" s="2"/>
      <c r="Q2" s="2"/>
      <c r="R2" s="2"/>
      <c r="S2" s="2"/>
      <c r="T2" s="2"/>
      <c r="U2" s="2"/>
      <c r="V2" s="2"/>
      <c r="W2" s="2"/>
      <c r="X2" s="2"/>
      <c r="Y2" s="2"/>
      <c r="Z2" s="2"/>
    </row>
    <row r="3" spans="1:26" ht="15.75" customHeight="1" x14ac:dyDescent="0.25">
      <c r="A3" s="2"/>
      <c r="B3" s="2"/>
      <c r="C3" s="2"/>
      <c r="D3" s="2" t="s">
        <v>1</v>
      </c>
      <c r="E3" s="2" t="s">
        <v>117</v>
      </c>
      <c r="F3" s="2"/>
      <c r="G3" s="2"/>
      <c r="H3" s="2" t="s">
        <v>118</v>
      </c>
      <c r="I3" s="2"/>
      <c r="J3" s="2"/>
      <c r="K3" s="2"/>
      <c r="L3" s="2"/>
      <c r="M3" s="2"/>
      <c r="N3" s="2"/>
      <c r="O3" s="2"/>
      <c r="P3" s="2"/>
      <c r="Q3" s="2"/>
      <c r="R3" s="2"/>
      <c r="S3" s="2"/>
      <c r="T3" s="2"/>
      <c r="U3" s="2"/>
      <c r="V3" s="2"/>
      <c r="W3" s="2"/>
      <c r="X3" s="2"/>
      <c r="Y3" s="2"/>
      <c r="Z3" s="2"/>
    </row>
    <row r="4" spans="1:26" ht="54" customHeight="1" x14ac:dyDescent="0.25">
      <c r="A4" s="5" t="s">
        <v>119</v>
      </c>
      <c r="B4" s="6" t="s">
        <v>6</v>
      </c>
      <c r="C4" s="5" t="s">
        <v>91</v>
      </c>
      <c r="D4" s="5" t="s">
        <v>8</v>
      </c>
      <c r="E4" s="14" t="s">
        <v>120</v>
      </c>
      <c r="F4" s="14" t="s">
        <v>121</v>
      </c>
      <c r="G4" s="23"/>
      <c r="H4" s="234" t="s">
        <v>65</v>
      </c>
      <c r="I4" s="14" t="s">
        <v>66</v>
      </c>
      <c r="J4" s="14" t="s">
        <v>67</v>
      </c>
      <c r="K4" s="2"/>
      <c r="L4" s="2"/>
      <c r="M4" s="2"/>
      <c r="N4" s="2"/>
      <c r="O4" s="2"/>
      <c r="P4" s="2"/>
      <c r="Q4" s="2"/>
      <c r="R4" s="2"/>
      <c r="S4" s="2"/>
      <c r="T4" s="2"/>
      <c r="U4" s="2"/>
      <c r="V4" s="2"/>
      <c r="W4" s="2"/>
      <c r="X4" s="2"/>
      <c r="Y4" s="2"/>
      <c r="Z4" s="2"/>
    </row>
    <row r="5" spans="1:26" ht="15.75" customHeight="1" x14ac:dyDescent="0.25">
      <c r="A5" s="369">
        <f>SUM(E5:E15)/E26</f>
        <v>0.75381938041261665</v>
      </c>
      <c r="B5" s="362" t="s">
        <v>21</v>
      </c>
      <c r="C5" s="319">
        <v>2</v>
      </c>
      <c r="D5" s="320" t="s">
        <v>26</v>
      </c>
      <c r="E5" s="321">
        <f>MROUND('FY19 Allocation - increase'!Q5*'FY18 Allocations'!H5,5000)-538</f>
        <v>2039462</v>
      </c>
      <c r="F5" s="322">
        <f t="shared" ref="F5:F25" si="0">SUM(E5/$E$26)</f>
        <v>0.26081871105710341</v>
      </c>
      <c r="G5" s="30"/>
      <c r="H5" s="89">
        <f>'FY18 Allocations'!E5</f>
        <v>1942205.4399999999</v>
      </c>
      <c r="I5" s="89">
        <f t="shared" ref="I5:I8" si="1">E5-H5</f>
        <v>97256.560000000056</v>
      </c>
      <c r="J5" s="27">
        <f>I5/H5</f>
        <v>5.0075320559291633E-2</v>
      </c>
      <c r="K5" s="2"/>
      <c r="L5" s="2"/>
      <c r="M5" s="2"/>
      <c r="N5" s="2"/>
      <c r="O5" s="2"/>
      <c r="P5" s="2"/>
      <c r="Q5" s="2"/>
      <c r="R5" s="2"/>
      <c r="S5" s="2"/>
      <c r="T5" s="2"/>
      <c r="U5" s="2"/>
      <c r="V5" s="2"/>
      <c r="W5" s="2"/>
      <c r="X5" s="2"/>
      <c r="Y5" s="2"/>
      <c r="Z5" s="2"/>
    </row>
    <row r="6" spans="1:26" ht="15.75" customHeight="1" x14ac:dyDescent="0.25">
      <c r="A6" s="370"/>
      <c r="B6" s="342"/>
      <c r="C6" s="34">
        <v>14</v>
      </c>
      <c r="D6" s="39" t="s">
        <v>27</v>
      </c>
      <c r="E6" s="175">
        <f>'FY19 Allocation - increase'!Q6</f>
        <v>0</v>
      </c>
      <c r="F6" s="37">
        <f t="shared" si="0"/>
        <v>0</v>
      </c>
      <c r="G6" s="30"/>
      <c r="H6" s="150">
        <v>0</v>
      </c>
      <c r="I6" s="89">
        <f t="shared" si="1"/>
        <v>0</v>
      </c>
      <c r="J6" s="37">
        <v>0</v>
      </c>
      <c r="K6" s="2"/>
      <c r="L6" s="2"/>
      <c r="M6" s="2"/>
      <c r="N6" s="2"/>
      <c r="O6" s="2"/>
      <c r="P6" s="2"/>
      <c r="Q6" s="2"/>
      <c r="R6" s="2"/>
      <c r="S6" s="2"/>
      <c r="T6" s="2"/>
      <c r="U6" s="2"/>
      <c r="V6" s="2"/>
      <c r="W6" s="2"/>
      <c r="X6" s="2"/>
      <c r="Y6" s="2"/>
      <c r="Z6" s="2"/>
    </row>
    <row r="7" spans="1:26" ht="15.75" customHeight="1" x14ac:dyDescent="0.25">
      <c r="A7" s="370"/>
      <c r="B7" s="342"/>
      <c r="C7" s="181" t="s">
        <v>104</v>
      </c>
      <c r="D7" s="190" t="s">
        <v>28</v>
      </c>
      <c r="E7" s="103">
        <f>'FY19 Allocation - increase'!Q7</f>
        <v>0</v>
      </c>
      <c r="F7" s="183">
        <f t="shared" si="0"/>
        <v>0</v>
      </c>
      <c r="G7" s="30"/>
      <c r="H7" s="150">
        <v>0</v>
      </c>
      <c r="I7" s="89">
        <f t="shared" si="1"/>
        <v>0</v>
      </c>
      <c r="J7" s="37">
        <v>0</v>
      </c>
      <c r="K7" s="2"/>
      <c r="L7" s="2"/>
      <c r="M7" s="2"/>
      <c r="N7" s="2"/>
      <c r="O7" s="2"/>
      <c r="P7" s="2"/>
      <c r="Q7" s="2"/>
      <c r="R7" s="2"/>
      <c r="S7" s="2"/>
      <c r="T7" s="2"/>
      <c r="U7" s="2"/>
      <c r="V7" s="2"/>
      <c r="W7" s="2"/>
      <c r="X7" s="2"/>
      <c r="Y7" s="2"/>
      <c r="Z7" s="2"/>
    </row>
    <row r="8" spans="1:26" ht="15.75" customHeight="1" x14ac:dyDescent="0.25">
      <c r="A8" s="370"/>
      <c r="B8" s="342"/>
      <c r="C8" s="34">
        <v>17</v>
      </c>
      <c r="D8" s="39" t="s">
        <v>29</v>
      </c>
      <c r="E8" s="175">
        <f>'FY19 Allocation - increase'!Q8</f>
        <v>0</v>
      </c>
      <c r="F8" s="37">
        <f t="shared" si="0"/>
        <v>0</v>
      </c>
      <c r="G8" s="30"/>
      <c r="H8" s="167">
        <f>'FY18 Allocations'!E8</f>
        <v>0</v>
      </c>
      <c r="I8" s="89">
        <f t="shared" si="1"/>
        <v>0</v>
      </c>
      <c r="J8" s="37" t="e">
        <f>I8/H8</f>
        <v>#DIV/0!</v>
      </c>
      <c r="K8" s="2"/>
      <c r="L8" s="2"/>
      <c r="M8" s="2"/>
      <c r="N8" s="2"/>
      <c r="O8" s="2"/>
      <c r="P8" s="2"/>
      <c r="Q8" s="2"/>
      <c r="R8" s="2"/>
      <c r="S8" s="2"/>
      <c r="T8" s="2"/>
      <c r="U8" s="2"/>
      <c r="V8" s="2"/>
      <c r="W8" s="2"/>
      <c r="X8" s="2"/>
      <c r="Y8" s="2"/>
      <c r="Z8" s="2"/>
    </row>
    <row r="9" spans="1:26" ht="15.75" customHeight="1" x14ac:dyDescent="0.25">
      <c r="A9" s="370"/>
      <c r="B9" s="342"/>
      <c r="C9" s="41">
        <v>1</v>
      </c>
      <c r="D9" s="43" t="s">
        <v>30</v>
      </c>
      <c r="E9" s="175">
        <f>MROUND('FY19 Allocation - increase'!Q9*'FY18 Allocations'!H9,5000)</f>
        <v>1455000</v>
      </c>
      <c r="F9" s="37">
        <f t="shared" si="0"/>
        <v>0.18607418259721706</v>
      </c>
      <c r="G9" s="30"/>
      <c r="H9" s="167"/>
      <c r="I9" s="89"/>
      <c r="J9" s="37"/>
      <c r="K9" s="2"/>
      <c r="L9" s="2"/>
      <c r="M9" s="2"/>
      <c r="N9" s="2"/>
      <c r="O9" s="2"/>
      <c r="P9" s="2"/>
      <c r="Q9" s="2"/>
      <c r="R9" s="2"/>
      <c r="S9" s="2"/>
      <c r="T9" s="2"/>
      <c r="U9" s="2"/>
      <c r="V9" s="2"/>
      <c r="W9" s="2"/>
      <c r="X9" s="2"/>
      <c r="Y9" s="2"/>
      <c r="Z9" s="2"/>
    </row>
    <row r="10" spans="1:26" ht="15.75" customHeight="1" x14ac:dyDescent="0.25">
      <c r="A10" s="370"/>
      <c r="B10" s="342"/>
      <c r="C10" s="34">
        <v>10</v>
      </c>
      <c r="D10" s="39" t="s">
        <v>32</v>
      </c>
      <c r="E10" s="175">
        <f>'FY19 Allocation - increase'!Q10</f>
        <v>7500</v>
      </c>
      <c r="F10" s="37">
        <f t="shared" si="0"/>
        <v>9.5914527111967554E-4</v>
      </c>
      <c r="G10" s="30"/>
      <c r="H10" s="167">
        <f>'FY18 Allocations'!E10</f>
        <v>4468.26</v>
      </c>
      <c r="I10" s="89">
        <f t="shared" ref="I10:I12" si="2">E10-H10</f>
        <v>3031.74</v>
      </c>
      <c r="J10" s="37">
        <f t="shared" ref="J10:J12" si="3">I10/H10</f>
        <v>0.67850572706154066</v>
      </c>
      <c r="K10" s="2"/>
      <c r="L10" s="2"/>
      <c r="M10" s="2"/>
      <c r="N10" s="2"/>
      <c r="O10" s="2"/>
      <c r="P10" s="2"/>
      <c r="Q10" s="2"/>
      <c r="R10" s="2"/>
      <c r="S10" s="2"/>
      <c r="T10" s="2"/>
      <c r="U10" s="2"/>
      <c r="V10" s="2"/>
      <c r="W10" s="2"/>
      <c r="X10" s="2"/>
      <c r="Y10" s="2"/>
      <c r="Z10" s="2"/>
    </row>
    <row r="11" spans="1:26" ht="15.75" customHeight="1" x14ac:dyDescent="0.25">
      <c r="A11" s="370"/>
      <c r="B11" s="342"/>
      <c r="C11" s="34">
        <v>16</v>
      </c>
      <c r="D11" s="39" t="s">
        <v>33</v>
      </c>
      <c r="E11" s="175">
        <f>'FY19 Allocation - increase'!Q11</f>
        <v>20000</v>
      </c>
      <c r="F11" s="37">
        <f t="shared" si="0"/>
        <v>2.5577207229858013E-3</v>
      </c>
      <c r="G11" s="30"/>
      <c r="H11" s="167">
        <f>'FY18 Allocations'!E11</f>
        <v>18617.77</v>
      </c>
      <c r="I11" s="89">
        <f t="shared" si="2"/>
        <v>1382.2299999999996</v>
      </c>
      <c r="J11" s="37">
        <f t="shared" si="3"/>
        <v>7.4242511321173238E-2</v>
      </c>
      <c r="K11" s="2"/>
      <c r="L11" s="2"/>
      <c r="M11" s="2"/>
      <c r="N11" s="2"/>
      <c r="O11" s="2"/>
      <c r="P11" s="2"/>
      <c r="Q11" s="2"/>
      <c r="R11" s="2"/>
      <c r="S11" s="2"/>
      <c r="T11" s="2"/>
      <c r="U11" s="2"/>
      <c r="V11" s="2"/>
      <c r="W11" s="2"/>
      <c r="X11" s="2"/>
      <c r="Y11" s="2"/>
      <c r="Z11" s="2"/>
    </row>
    <row r="12" spans="1:26" ht="15.75" customHeight="1" x14ac:dyDescent="0.25">
      <c r="A12" s="370"/>
      <c r="B12" s="342"/>
      <c r="C12" s="34">
        <v>20</v>
      </c>
      <c r="D12" s="39" t="s">
        <v>106</v>
      </c>
      <c r="E12" s="175">
        <f>'FY19 Allocation - increase'!Q12</f>
        <v>0</v>
      </c>
      <c r="F12" s="37">
        <f t="shared" si="0"/>
        <v>0</v>
      </c>
      <c r="G12" s="30"/>
      <c r="H12" s="167">
        <f>'FY18 Allocations'!E12</f>
        <v>0</v>
      </c>
      <c r="I12" s="89">
        <f t="shared" si="2"/>
        <v>0</v>
      </c>
      <c r="J12" s="37" t="e">
        <f t="shared" si="3"/>
        <v>#DIV/0!</v>
      </c>
      <c r="K12" s="2"/>
      <c r="L12" s="2"/>
      <c r="M12" s="2"/>
      <c r="N12" s="2"/>
      <c r="O12" s="2"/>
      <c r="P12" s="2"/>
      <c r="Q12" s="2"/>
      <c r="R12" s="2"/>
      <c r="S12" s="2"/>
      <c r="T12" s="2"/>
      <c r="U12" s="2"/>
      <c r="V12" s="2"/>
      <c r="W12" s="2"/>
      <c r="X12" s="2"/>
      <c r="Y12" s="2"/>
      <c r="Z12" s="2"/>
    </row>
    <row r="13" spans="1:26" ht="15.75" customHeight="1" x14ac:dyDescent="0.25">
      <c r="A13" s="370"/>
      <c r="B13" s="342"/>
      <c r="C13" s="34">
        <v>8</v>
      </c>
      <c r="D13" s="39" t="s">
        <v>35</v>
      </c>
      <c r="E13" s="175">
        <f>'FY19 Allocation - increase'!Q13</f>
        <v>202500</v>
      </c>
      <c r="F13" s="37">
        <f t="shared" si="0"/>
        <v>2.589692232023124E-2</v>
      </c>
      <c r="G13" s="30"/>
      <c r="H13" s="167"/>
      <c r="I13" s="89"/>
      <c r="J13" s="37"/>
      <c r="K13" s="2"/>
      <c r="L13" s="2"/>
      <c r="M13" s="2"/>
      <c r="N13" s="2"/>
      <c r="O13" s="2"/>
      <c r="P13" s="2"/>
      <c r="Q13" s="2"/>
      <c r="R13" s="2"/>
      <c r="S13" s="2"/>
      <c r="T13" s="2"/>
      <c r="U13" s="2"/>
      <c r="V13" s="2"/>
      <c r="W13" s="2"/>
      <c r="X13" s="2"/>
      <c r="Y13" s="2"/>
      <c r="Z13" s="2"/>
    </row>
    <row r="14" spans="1:26" ht="15.75" customHeight="1" x14ac:dyDescent="0.25">
      <c r="A14" s="370"/>
      <c r="B14" s="342"/>
      <c r="C14" s="198">
        <v>12</v>
      </c>
      <c r="D14" s="39" t="s">
        <v>36</v>
      </c>
      <c r="E14" s="175">
        <f>'FY19 Allocation - increase'!Q14</f>
        <v>250000</v>
      </c>
      <c r="F14" s="37">
        <f t="shared" si="0"/>
        <v>3.1971509037322515E-2</v>
      </c>
      <c r="G14" s="30"/>
      <c r="H14" s="167">
        <f>'FY18 Allocations'!E13</f>
        <v>190645.93</v>
      </c>
      <c r="I14" s="89">
        <f>E13-H14</f>
        <v>11854.070000000007</v>
      </c>
      <c r="J14" s="37">
        <f>I14/H14</f>
        <v>6.2178458255049071E-2</v>
      </c>
      <c r="K14" s="2"/>
      <c r="L14" s="2"/>
      <c r="M14" s="2"/>
      <c r="N14" s="239"/>
      <c r="O14" s="2"/>
      <c r="P14" s="2"/>
      <c r="Q14" s="2"/>
      <c r="R14" s="2"/>
      <c r="S14" s="2"/>
      <c r="T14" s="2"/>
      <c r="U14" s="2"/>
      <c r="V14" s="2"/>
      <c r="W14" s="2"/>
      <c r="X14" s="2"/>
      <c r="Y14" s="2"/>
      <c r="Z14" s="2"/>
    </row>
    <row r="15" spans="1:26" ht="16.5" customHeight="1" x14ac:dyDescent="0.25">
      <c r="A15" s="332"/>
      <c r="B15" s="343"/>
      <c r="C15" s="137">
        <v>4</v>
      </c>
      <c r="D15" s="7" t="s">
        <v>37</v>
      </c>
      <c r="E15" s="178">
        <f>'FY19 Allocation - increase'!Q15</f>
        <v>1920000</v>
      </c>
      <c r="F15" s="141">
        <f t="shared" si="0"/>
        <v>0.24554118940663694</v>
      </c>
      <c r="G15" s="138"/>
      <c r="H15" s="155">
        <v>0</v>
      </c>
      <c r="I15" s="155" t="e">
        <f>#REF!-H15</f>
        <v>#REF!</v>
      </c>
      <c r="J15" s="240" t="s">
        <v>128</v>
      </c>
      <c r="K15" s="2"/>
      <c r="L15" s="2"/>
      <c r="M15" s="2"/>
      <c r="N15" s="2"/>
      <c r="O15" s="2"/>
      <c r="P15" s="2"/>
      <c r="Q15" s="2"/>
      <c r="R15" s="2"/>
      <c r="S15" s="2"/>
      <c r="T15" s="2"/>
      <c r="U15" s="2"/>
      <c r="V15" s="2"/>
      <c r="W15" s="2"/>
      <c r="X15" s="2"/>
      <c r="Y15" s="2"/>
      <c r="Z15" s="2"/>
    </row>
    <row r="16" spans="1:26" ht="15.75" customHeight="1" x14ac:dyDescent="0.25">
      <c r="A16" s="350">
        <f>SUM(E16:E25)/E26</f>
        <v>0.24618061958738338</v>
      </c>
      <c r="B16" s="362" t="s">
        <v>39</v>
      </c>
      <c r="C16" s="24">
        <v>11</v>
      </c>
      <c r="D16" s="131" t="s">
        <v>40</v>
      </c>
      <c r="E16" s="200">
        <f>'FY19 Allocation - increase'!Q16</f>
        <v>130000</v>
      </c>
      <c r="F16" s="27">
        <f t="shared" si="0"/>
        <v>1.662518469940771E-2</v>
      </c>
      <c r="G16" s="30"/>
      <c r="H16" s="89">
        <f>'FY18 Allocations'!E16</f>
        <v>116174.86</v>
      </c>
      <c r="I16" s="89">
        <f t="shared" ref="I16:I24" si="4">E16-H16</f>
        <v>13825.14</v>
      </c>
      <c r="J16" s="27">
        <f t="shared" ref="J16:J22" si="5">I16/H16</f>
        <v>0.1190028548345141</v>
      </c>
      <c r="K16" s="2"/>
      <c r="L16" s="2"/>
      <c r="M16" s="2"/>
      <c r="N16" s="2"/>
      <c r="O16" s="2"/>
      <c r="P16" s="2"/>
      <c r="Q16" s="2"/>
      <c r="R16" s="2"/>
      <c r="S16" s="2"/>
      <c r="T16" s="2"/>
      <c r="U16" s="2"/>
      <c r="V16" s="2"/>
      <c r="W16" s="2"/>
      <c r="X16" s="2"/>
      <c r="Y16" s="2"/>
      <c r="Z16" s="2"/>
    </row>
    <row r="17" spans="1:26" ht="15.75" customHeight="1" x14ac:dyDescent="0.25">
      <c r="A17" s="342"/>
      <c r="B17" s="342"/>
      <c r="C17" s="24">
        <v>15</v>
      </c>
      <c r="D17" s="39" t="s">
        <v>41</v>
      </c>
      <c r="E17" s="175">
        <f>'FY19 Allocation - increase'!Q17</f>
        <v>0</v>
      </c>
      <c r="F17" s="37">
        <f t="shared" si="0"/>
        <v>0</v>
      </c>
      <c r="G17" s="30"/>
      <c r="H17" s="167">
        <f>'FY18 Allocations'!E17</f>
        <v>0</v>
      </c>
      <c r="I17" s="89">
        <f t="shared" si="4"/>
        <v>0</v>
      </c>
      <c r="J17" s="37" t="e">
        <f t="shared" si="5"/>
        <v>#DIV/0!</v>
      </c>
      <c r="K17" s="2"/>
      <c r="L17" s="2"/>
      <c r="M17" s="2"/>
      <c r="N17" s="2"/>
      <c r="O17" s="2"/>
      <c r="P17" s="2"/>
      <c r="Q17" s="2"/>
      <c r="R17" s="2"/>
      <c r="S17" s="2"/>
      <c r="T17" s="2"/>
      <c r="U17" s="2"/>
      <c r="V17" s="2"/>
      <c r="W17" s="2"/>
      <c r="X17" s="2"/>
      <c r="Y17" s="2"/>
      <c r="Z17" s="2"/>
    </row>
    <row r="18" spans="1:26" ht="15.75" customHeight="1" x14ac:dyDescent="0.25">
      <c r="A18" s="342"/>
      <c r="B18" s="342"/>
      <c r="C18" s="24">
        <v>5</v>
      </c>
      <c r="D18" s="39" t="s">
        <v>42</v>
      </c>
      <c r="E18" s="175">
        <f>'FY19 Allocation - increase'!Q18</f>
        <v>485000</v>
      </c>
      <c r="F18" s="37">
        <f t="shared" si="0"/>
        <v>6.2024727532405684E-2</v>
      </c>
      <c r="G18" s="30"/>
      <c r="H18" s="167">
        <f>'FY18 Allocations'!E18</f>
        <v>460975.9</v>
      </c>
      <c r="I18" s="89">
        <f t="shared" si="4"/>
        <v>24024.099999999977</v>
      </c>
      <c r="J18" s="37">
        <f t="shared" si="5"/>
        <v>5.2115739673158565E-2</v>
      </c>
      <c r="K18" s="2"/>
      <c r="L18" s="2"/>
      <c r="M18" s="2"/>
      <c r="N18" s="2"/>
      <c r="O18" s="2"/>
      <c r="P18" s="2"/>
      <c r="Q18" s="2"/>
      <c r="R18" s="2"/>
      <c r="S18" s="2"/>
      <c r="T18" s="2"/>
      <c r="U18" s="2"/>
      <c r="V18" s="2"/>
      <c r="W18" s="2"/>
      <c r="X18" s="2"/>
      <c r="Y18" s="2"/>
      <c r="Z18" s="2"/>
    </row>
    <row r="19" spans="1:26" ht="15.75" customHeight="1" x14ac:dyDescent="0.25">
      <c r="A19" s="342"/>
      <c r="B19" s="342"/>
      <c r="C19" s="24">
        <v>6</v>
      </c>
      <c r="D19" s="39" t="s">
        <v>43</v>
      </c>
      <c r="E19" s="175">
        <f>'FY19 Allocation - increase'!Q19</f>
        <v>335000</v>
      </c>
      <c r="F19" s="37">
        <f t="shared" si="0"/>
        <v>4.2841822110012175E-2</v>
      </c>
      <c r="G19" s="30"/>
      <c r="H19" s="167">
        <f>'FY18 Allocations'!E19</f>
        <v>330651.53999999998</v>
      </c>
      <c r="I19" s="89">
        <f t="shared" si="4"/>
        <v>4348.460000000021</v>
      </c>
      <c r="J19" s="37">
        <f t="shared" si="5"/>
        <v>1.3151186291163262E-2</v>
      </c>
      <c r="K19" s="2"/>
      <c r="L19" s="2"/>
      <c r="M19" s="239"/>
      <c r="N19" s="2"/>
      <c r="O19" s="2"/>
      <c r="P19" s="2"/>
      <c r="Q19" s="2"/>
      <c r="R19" s="2"/>
      <c r="S19" s="2"/>
      <c r="T19" s="2"/>
      <c r="U19" s="2"/>
      <c r="V19" s="2"/>
      <c r="W19" s="2"/>
      <c r="X19" s="2"/>
      <c r="Y19" s="2"/>
      <c r="Z19" s="2"/>
    </row>
    <row r="20" spans="1:26" ht="15.75" customHeight="1" x14ac:dyDescent="0.25">
      <c r="A20" s="342"/>
      <c r="B20" s="342"/>
      <c r="C20" s="24">
        <v>9</v>
      </c>
      <c r="D20" s="39" t="s">
        <v>44</v>
      </c>
      <c r="E20" s="175">
        <f>'FY19 Allocation - increase'!Q20</f>
        <v>80000</v>
      </c>
      <c r="F20" s="37">
        <f t="shared" si="0"/>
        <v>1.0230882891943205E-2</v>
      </c>
      <c r="G20" s="30"/>
      <c r="H20" s="167">
        <f>'FY18 Allocations'!E20</f>
        <v>78939.33</v>
      </c>
      <c r="I20" s="89">
        <f t="shared" si="4"/>
        <v>1060.6699999999983</v>
      </c>
      <c r="J20" s="37">
        <f t="shared" si="5"/>
        <v>1.3436521439946326E-2</v>
      </c>
      <c r="K20" s="2"/>
      <c r="L20" s="2"/>
      <c r="M20" s="239"/>
      <c r="N20" s="2"/>
      <c r="O20" s="2"/>
      <c r="P20" s="2"/>
      <c r="Q20" s="2"/>
      <c r="R20" s="2"/>
      <c r="S20" s="2"/>
      <c r="T20" s="2"/>
      <c r="U20" s="2"/>
      <c r="V20" s="2"/>
      <c r="W20" s="2"/>
      <c r="X20" s="2"/>
      <c r="Y20" s="2"/>
      <c r="Z20" s="2"/>
    </row>
    <row r="21" spans="1:26" ht="15.75" customHeight="1" x14ac:dyDescent="0.25">
      <c r="A21" s="342"/>
      <c r="B21" s="342"/>
      <c r="C21" s="24">
        <v>18</v>
      </c>
      <c r="D21" s="39" t="s">
        <v>45</v>
      </c>
      <c r="E21" s="175">
        <f>'FY19 Allocation - increase'!Q21</f>
        <v>0</v>
      </c>
      <c r="F21" s="37">
        <f t="shared" si="0"/>
        <v>0</v>
      </c>
      <c r="G21" s="30"/>
      <c r="H21" s="167">
        <f>'FY18 Allocations'!E21</f>
        <v>0</v>
      </c>
      <c r="I21" s="89">
        <f t="shared" si="4"/>
        <v>0</v>
      </c>
      <c r="J21" s="37" t="e">
        <f t="shared" si="5"/>
        <v>#DIV/0!</v>
      </c>
      <c r="K21" s="2"/>
      <c r="L21" s="2"/>
      <c r="M21" s="2"/>
      <c r="N21" s="2"/>
      <c r="O21" s="2"/>
      <c r="P21" s="2"/>
      <c r="Q21" s="2"/>
      <c r="R21" s="2"/>
      <c r="S21" s="2"/>
      <c r="T21" s="2"/>
      <c r="U21" s="2"/>
      <c r="V21" s="2"/>
      <c r="W21" s="2"/>
      <c r="X21" s="2"/>
      <c r="Y21" s="2"/>
      <c r="Z21" s="2"/>
    </row>
    <row r="22" spans="1:26" ht="15.75" customHeight="1" x14ac:dyDescent="0.25">
      <c r="A22" s="342"/>
      <c r="B22" s="342"/>
      <c r="C22" s="34">
        <v>3</v>
      </c>
      <c r="D22" s="39" t="s">
        <v>46</v>
      </c>
      <c r="E22" s="175">
        <f>'FY19 Allocation - increase'!Q22</f>
        <v>745000</v>
      </c>
      <c r="F22" s="37">
        <f t="shared" si="0"/>
        <v>9.5275096931221104E-2</v>
      </c>
      <c r="G22" s="30"/>
      <c r="H22" s="167">
        <f>'FY18 Allocations'!E22</f>
        <v>689602.08</v>
      </c>
      <c r="I22" s="89">
        <f t="shared" si="4"/>
        <v>55397.920000000042</v>
      </c>
      <c r="J22" s="37">
        <f t="shared" si="5"/>
        <v>8.0333168368633759E-2</v>
      </c>
      <c r="K22" s="2"/>
      <c r="L22" s="2"/>
      <c r="M22" s="2"/>
      <c r="N22" s="2"/>
      <c r="O22" s="2"/>
      <c r="P22" s="2"/>
      <c r="Q22" s="2"/>
      <c r="R22" s="2"/>
      <c r="S22" s="2"/>
      <c r="T22" s="2"/>
      <c r="U22" s="2"/>
      <c r="V22" s="2"/>
      <c r="W22" s="2"/>
      <c r="X22" s="2"/>
      <c r="Y22" s="2"/>
      <c r="Z22" s="2"/>
    </row>
    <row r="23" spans="1:26" ht="15.75" customHeight="1" x14ac:dyDescent="0.25">
      <c r="A23" s="342"/>
      <c r="B23" s="342"/>
      <c r="C23" s="34">
        <v>13</v>
      </c>
      <c r="D23" s="39" t="s">
        <v>47</v>
      </c>
      <c r="E23" s="175">
        <f>'FY19 Allocation - increase'!Q23</f>
        <v>45000</v>
      </c>
      <c r="F23" s="37">
        <f t="shared" si="0"/>
        <v>5.7548716267180533E-3</v>
      </c>
      <c r="G23" s="138"/>
      <c r="H23" s="167">
        <v>0</v>
      </c>
      <c r="I23" s="89">
        <f t="shared" si="4"/>
        <v>45000</v>
      </c>
      <c r="J23" s="241" t="s">
        <v>128</v>
      </c>
      <c r="K23" s="2"/>
      <c r="L23" s="2"/>
      <c r="M23" s="2"/>
      <c r="N23" s="2"/>
      <c r="O23" s="2"/>
      <c r="P23" s="2"/>
      <c r="Q23" s="2"/>
      <c r="R23" s="2"/>
      <c r="S23" s="2"/>
      <c r="T23" s="2"/>
      <c r="U23" s="2"/>
      <c r="V23" s="2"/>
      <c r="W23" s="2"/>
      <c r="X23" s="2"/>
      <c r="Y23" s="2"/>
      <c r="Z23" s="2"/>
    </row>
    <row r="24" spans="1:26" ht="15.75" customHeight="1" x14ac:dyDescent="0.25">
      <c r="A24" s="342"/>
      <c r="B24" s="342"/>
      <c r="C24" s="206">
        <v>7</v>
      </c>
      <c r="D24" s="43" t="s">
        <v>48</v>
      </c>
      <c r="E24" s="175">
        <f>'FY19 Allocation - increase'!Q24</f>
        <v>105000</v>
      </c>
      <c r="F24" s="37">
        <f t="shared" si="0"/>
        <v>1.3428033795675457E-2</v>
      </c>
      <c r="G24" s="138"/>
      <c r="H24" s="167">
        <v>0</v>
      </c>
      <c r="I24" s="89">
        <f t="shared" si="4"/>
        <v>105000</v>
      </c>
      <c r="J24" s="241" t="s">
        <v>128</v>
      </c>
      <c r="K24" s="2"/>
      <c r="L24" s="2"/>
      <c r="M24" s="2"/>
      <c r="N24" s="2"/>
      <c r="O24" s="2"/>
      <c r="P24" s="2"/>
      <c r="Q24" s="2"/>
      <c r="R24" s="2"/>
      <c r="S24" s="2"/>
      <c r="T24" s="2"/>
      <c r="U24" s="2"/>
      <c r="V24" s="2"/>
      <c r="W24" s="2"/>
      <c r="X24" s="2"/>
      <c r="Y24" s="2"/>
      <c r="Z24" s="2"/>
    </row>
    <row r="25" spans="1:26" ht="15.75" customHeight="1" x14ac:dyDescent="0.25">
      <c r="A25" s="342"/>
      <c r="B25" s="342"/>
      <c r="C25" s="137">
        <v>19</v>
      </c>
      <c r="D25" s="139" t="s">
        <v>49</v>
      </c>
      <c r="E25" s="178">
        <f>'FY19 Allocation - increase'!Q25</f>
        <v>0</v>
      </c>
      <c r="F25" s="37">
        <f t="shared" si="0"/>
        <v>0</v>
      </c>
      <c r="G25" s="138"/>
      <c r="H25" s="108"/>
      <c r="I25" s="151"/>
      <c r="J25" s="242"/>
      <c r="K25" s="2"/>
      <c r="L25" s="2"/>
      <c r="M25" s="2"/>
      <c r="N25" s="2"/>
      <c r="O25" s="2"/>
      <c r="P25" s="2"/>
      <c r="Q25" s="2"/>
      <c r="R25" s="2"/>
      <c r="S25" s="2"/>
      <c r="T25" s="2"/>
      <c r="U25" s="2"/>
      <c r="V25" s="2"/>
      <c r="W25" s="2"/>
      <c r="X25" s="2"/>
      <c r="Y25" s="2"/>
      <c r="Z25" s="2"/>
    </row>
    <row r="26" spans="1:26" ht="15.75" customHeight="1" x14ac:dyDescent="0.25">
      <c r="A26" s="243"/>
      <c r="B26" s="244"/>
      <c r="C26" s="131"/>
      <c r="D26" s="323" t="s">
        <v>130</v>
      </c>
      <c r="E26" s="324">
        <f t="shared" ref="E26:F26" si="6">SUM(E5:E25)</f>
        <v>7819462</v>
      </c>
      <c r="F26" s="325">
        <f t="shared" si="6"/>
        <v>1</v>
      </c>
      <c r="G26" s="2"/>
      <c r="H26" s="89">
        <f>SUM(H5:H25)</f>
        <v>3832281.11</v>
      </c>
      <c r="I26" s="89">
        <f>E26-H26</f>
        <v>3987180.89</v>
      </c>
      <c r="J26" s="27">
        <f>I26/H26</f>
        <v>1.0404197331964513</v>
      </c>
      <c r="K26" s="2"/>
      <c r="L26" s="2"/>
      <c r="M26" s="2"/>
      <c r="N26" s="239"/>
      <c r="O26" s="2"/>
      <c r="P26" s="2"/>
      <c r="Q26" s="2"/>
      <c r="R26" s="2"/>
      <c r="S26" s="2"/>
      <c r="T26" s="2"/>
      <c r="U26" s="2"/>
      <c r="V26" s="2"/>
      <c r="W26" s="2"/>
      <c r="X26" s="2"/>
      <c r="Y26" s="2"/>
      <c r="Z26" s="2"/>
    </row>
    <row r="27" spans="1:26" ht="15.75" customHeight="1" x14ac:dyDescent="0.25">
      <c r="A27" s="2"/>
      <c r="B27" s="2"/>
      <c r="C27" s="2"/>
      <c r="D27" s="2"/>
      <c r="E27" s="138"/>
      <c r="F27" s="138"/>
      <c r="G27" s="138"/>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138"/>
      <c r="H28" s="9"/>
      <c r="I28" s="166"/>
      <c r="J28" s="30"/>
      <c r="K28" s="2"/>
      <c r="L28" s="2"/>
      <c r="M28" s="2"/>
      <c r="N28" s="2"/>
      <c r="O28" s="2"/>
      <c r="P28" s="2"/>
      <c r="Q28" s="2"/>
      <c r="R28" s="2"/>
      <c r="S28" s="2"/>
      <c r="T28" s="2"/>
      <c r="U28" s="2"/>
      <c r="V28" s="2"/>
      <c r="W28" s="2"/>
      <c r="X28" s="2"/>
      <c r="Y28" s="2"/>
      <c r="Z28" s="2"/>
    </row>
    <row r="29" spans="1:26" ht="15.75" customHeight="1" x14ac:dyDescent="0.25">
      <c r="A29" s="2"/>
      <c r="B29" s="2"/>
      <c r="C29" s="2"/>
      <c r="D29" s="2" t="s">
        <v>70</v>
      </c>
      <c r="E29" s="2" t="str">
        <f t="shared" ref="E29:E30" si="7">E3</f>
        <v>FY19 SEMHAC Allocation</v>
      </c>
      <c r="F29" s="2"/>
      <c r="G29" s="2"/>
      <c r="H29" s="2" t="s">
        <v>131</v>
      </c>
      <c r="I29" s="2"/>
      <c r="J29" s="2"/>
      <c r="K29" s="2"/>
      <c r="L29" s="2"/>
      <c r="M29" s="2"/>
      <c r="N29" s="2"/>
      <c r="O29" s="2"/>
      <c r="P29" s="2"/>
      <c r="Q29" s="2"/>
      <c r="R29" s="2"/>
      <c r="S29" s="2"/>
      <c r="T29" s="2"/>
      <c r="U29" s="2"/>
      <c r="V29" s="2"/>
      <c r="W29" s="2"/>
      <c r="X29" s="2"/>
      <c r="Y29" s="2"/>
      <c r="Z29" s="2"/>
    </row>
    <row r="30" spans="1:26" ht="36.75" customHeight="1" x14ac:dyDescent="0.25">
      <c r="A30" s="5" t="str">
        <f>A4</f>
        <v>FY19               % by type</v>
      </c>
      <c r="B30" s="6" t="s">
        <v>6</v>
      </c>
      <c r="C30" s="5" t="str">
        <f>C4</f>
        <v>FY19 Priority</v>
      </c>
      <c r="D30" s="5" t="s">
        <v>8</v>
      </c>
      <c r="E30" s="14" t="str">
        <f t="shared" si="7"/>
        <v>FY19                          Projected Allocation</v>
      </c>
      <c r="F30" s="14" t="s">
        <v>121</v>
      </c>
      <c r="G30" s="2"/>
      <c r="H30" s="234" t="s">
        <v>65</v>
      </c>
      <c r="I30" s="14" t="s">
        <v>66</v>
      </c>
      <c r="J30" s="14" t="s">
        <v>67</v>
      </c>
      <c r="K30" s="2"/>
      <c r="L30" s="2"/>
      <c r="M30" s="2"/>
      <c r="N30" s="2"/>
      <c r="O30" s="2"/>
      <c r="P30" s="2"/>
      <c r="Q30" s="2"/>
      <c r="R30" s="2"/>
      <c r="S30" s="2"/>
      <c r="T30" s="2"/>
      <c r="U30" s="2"/>
      <c r="V30" s="2"/>
      <c r="W30" s="2"/>
      <c r="X30" s="2"/>
      <c r="Y30" s="2"/>
      <c r="Z30" s="2"/>
    </row>
    <row r="31" spans="1:26" ht="15.75" customHeight="1" x14ac:dyDescent="0.25">
      <c r="A31" s="341">
        <f>SUM(E31:E32)/E33</f>
        <v>1</v>
      </c>
      <c r="B31" s="344" t="s">
        <v>21</v>
      </c>
      <c r="C31" s="24">
        <v>2</v>
      </c>
      <c r="D31" s="326" t="s">
        <v>132</v>
      </c>
      <c r="E31" s="327">
        <f>MROUND('FY19 Allocation - increase'!Q5*'FY18 Allocations'!H31,5000)-1692</f>
        <v>543308</v>
      </c>
      <c r="F31" s="328">
        <f>ROUND(E31/E33,4)</f>
        <v>0.7359</v>
      </c>
      <c r="G31" s="2"/>
      <c r="H31" s="167">
        <f>'FY18 Allocations'!E31</f>
        <v>519417.35</v>
      </c>
      <c r="I31" s="89">
        <f t="shared" ref="I31:I33" si="8">E31-H31</f>
        <v>23890.650000000023</v>
      </c>
      <c r="J31" s="208">
        <f t="shared" ref="J31:J33" si="9">I31/H31</f>
        <v>4.5995094310962124E-2</v>
      </c>
      <c r="K31" s="2"/>
      <c r="L31" s="2"/>
      <c r="M31" s="2"/>
      <c r="N31" s="2"/>
      <c r="O31" s="2"/>
      <c r="P31" s="2"/>
      <c r="Q31" s="2"/>
      <c r="R31" s="2"/>
      <c r="S31" s="2"/>
      <c r="T31" s="2"/>
      <c r="U31" s="2"/>
      <c r="V31" s="2"/>
      <c r="W31" s="2"/>
      <c r="X31" s="2"/>
      <c r="Y31" s="2"/>
      <c r="Z31" s="2"/>
    </row>
    <row r="32" spans="1:26" ht="16.5" customHeight="1" x14ac:dyDescent="0.25">
      <c r="A32" s="343"/>
      <c r="B32" s="343"/>
      <c r="C32" s="73">
        <v>1</v>
      </c>
      <c r="D32" s="139" t="s">
        <v>133</v>
      </c>
      <c r="E32" s="178">
        <f>MROUND('FY19 Allocation - increase'!Q9*'FY18 Allocations'!H32,5000)</f>
        <v>195000</v>
      </c>
      <c r="F32" s="141">
        <f>ROUND(E32/E33,4)</f>
        <v>0.2641</v>
      </c>
      <c r="G32" s="2"/>
      <c r="H32" s="247">
        <f>'FY18 Allocations'!E32</f>
        <v>183733.25</v>
      </c>
      <c r="I32" s="155">
        <f t="shared" si="8"/>
        <v>11266.75</v>
      </c>
      <c r="J32" s="141">
        <f t="shared" si="9"/>
        <v>6.1321236085466295E-2</v>
      </c>
      <c r="K32" s="2"/>
      <c r="L32" s="2"/>
      <c r="M32" s="2"/>
      <c r="N32" s="2"/>
      <c r="O32" s="2"/>
      <c r="P32" s="2"/>
      <c r="Q32" s="2"/>
      <c r="R32" s="2"/>
      <c r="S32" s="2"/>
      <c r="T32" s="2"/>
      <c r="U32" s="2"/>
      <c r="V32" s="2"/>
      <c r="W32" s="2"/>
      <c r="X32" s="2"/>
      <c r="Y32" s="2"/>
      <c r="Z32" s="2"/>
    </row>
    <row r="33" spans="1:26" ht="15.75" customHeight="1" x14ac:dyDescent="0.25">
      <c r="A33" s="129"/>
      <c r="B33" s="130"/>
      <c r="C33" s="131"/>
      <c r="D33" s="323" t="s">
        <v>134</v>
      </c>
      <c r="E33" s="324">
        <f t="shared" ref="E33:F33" si="10">SUM(E31:E32)</f>
        <v>738308</v>
      </c>
      <c r="F33" s="325">
        <f t="shared" si="10"/>
        <v>1</v>
      </c>
      <c r="G33" s="2"/>
      <c r="H33" s="89">
        <f>SUM(H31:H32)</f>
        <v>703150.6</v>
      </c>
      <c r="I33" s="89">
        <f t="shared" si="8"/>
        <v>35157.400000000023</v>
      </c>
      <c r="J33" s="248">
        <f t="shared" si="9"/>
        <v>4.9999815117842503E-2</v>
      </c>
      <c r="K33" s="2"/>
      <c r="L33" s="2"/>
      <c r="M33" s="2"/>
      <c r="N33" s="2"/>
      <c r="O33" s="2"/>
      <c r="P33" s="2"/>
      <c r="Q33" s="2"/>
      <c r="R33" s="2"/>
      <c r="S33" s="2"/>
      <c r="T33" s="2"/>
      <c r="U33" s="2"/>
      <c r="V33" s="2"/>
      <c r="W33" s="2"/>
      <c r="X33" s="2"/>
      <c r="Y33" s="2"/>
      <c r="Z33" s="2"/>
    </row>
    <row r="34" spans="1:26" ht="15.75" customHeight="1" x14ac:dyDescent="0.25">
      <c r="A34" s="2"/>
      <c r="B34" s="2"/>
      <c r="C34" s="2"/>
      <c r="D34" s="2"/>
      <c r="E34" s="138"/>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138"/>
      <c r="F35" s="2"/>
      <c r="G35" s="2"/>
      <c r="H35" s="2"/>
      <c r="I35" s="2"/>
      <c r="J35" s="2"/>
      <c r="K35" s="2"/>
      <c r="L35" s="2"/>
      <c r="M35" s="2"/>
      <c r="N35" s="2"/>
      <c r="O35" s="2"/>
      <c r="P35" s="2"/>
      <c r="Q35" s="2"/>
      <c r="R35" s="2"/>
      <c r="S35" s="2"/>
      <c r="T35" s="2"/>
      <c r="U35" s="2"/>
      <c r="V35" s="2"/>
      <c r="W35" s="2"/>
      <c r="X35" s="2"/>
      <c r="Y35" s="2"/>
      <c r="Z35" s="2"/>
    </row>
    <row r="36" spans="1:26" ht="39" customHeight="1" x14ac:dyDescent="0.25">
      <c r="A36" s="2"/>
      <c r="B36" s="2"/>
      <c r="C36" s="2"/>
      <c r="D36" s="7" t="s">
        <v>74</v>
      </c>
      <c r="E36" s="14" t="str">
        <f>E4</f>
        <v>FY19                          Projected Allocation</v>
      </c>
      <c r="F36" s="14" t="s">
        <v>121</v>
      </c>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69" t="s">
        <v>76</v>
      </c>
      <c r="E37" s="203">
        <f>SUM(E5:E15)+E33</f>
        <v>6632770</v>
      </c>
      <c r="F37" s="27">
        <f>E37/E39</f>
        <v>0.7750582219433334</v>
      </c>
      <c r="G37" s="2"/>
      <c r="H37" s="2"/>
      <c r="I37" s="2"/>
      <c r="J37" s="2"/>
      <c r="K37" s="2"/>
      <c r="L37" s="2"/>
      <c r="M37" s="2"/>
      <c r="N37" s="2"/>
      <c r="O37" s="2"/>
      <c r="P37" s="2"/>
      <c r="Q37" s="2"/>
      <c r="R37" s="2"/>
      <c r="S37" s="2"/>
      <c r="T37" s="2"/>
      <c r="U37" s="2"/>
      <c r="V37" s="2"/>
      <c r="W37" s="2"/>
      <c r="X37" s="2"/>
      <c r="Y37" s="2"/>
      <c r="Z37" s="2"/>
    </row>
    <row r="38" spans="1:26" ht="16.5" customHeight="1" x14ac:dyDescent="0.25">
      <c r="A38" s="2"/>
      <c r="B38" s="2"/>
      <c r="C38" s="2"/>
      <c r="D38" s="249" t="s">
        <v>79</v>
      </c>
      <c r="E38" s="199">
        <f>SUM(E16:E25)</f>
        <v>1925000</v>
      </c>
      <c r="F38" s="141">
        <f>E38/E39</f>
        <v>0.22494177805666662</v>
      </c>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50" t="s">
        <v>80</v>
      </c>
      <c r="E39" s="133">
        <f t="shared" ref="E39:F39" si="11">SUM(E37:E38)</f>
        <v>8557770</v>
      </c>
      <c r="F39" s="134">
        <f t="shared" si="11"/>
        <v>1</v>
      </c>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t="s">
        <v>50</v>
      </c>
      <c r="B41" s="2"/>
      <c r="C41" s="2"/>
      <c r="D41" s="2"/>
      <c r="E41" s="2"/>
      <c r="F41" s="2"/>
      <c r="G41" s="2"/>
      <c r="H41" s="2"/>
      <c r="I41" s="2"/>
      <c r="J41" s="2"/>
      <c r="K41" s="2"/>
      <c r="L41" s="2"/>
      <c r="M41" s="2"/>
      <c r="N41" s="2"/>
      <c r="O41" s="2"/>
      <c r="P41" s="2"/>
      <c r="Q41" s="2"/>
      <c r="R41" s="2"/>
      <c r="S41" s="2"/>
      <c r="T41" s="2"/>
      <c r="U41" s="2"/>
      <c r="V41" s="2"/>
      <c r="W41" s="2"/>
      <c r="X41" s="2"/>
      <c r="Y41" s="2"/>
      <c r="Z41" s="2"/>
    </row>
    <row r="42" spans="1:26" ht="30.75" customHeight="1" x14ac:dyDescent="0.25">
      <c r="A42" s="301"/>
      <c r="B42" s="301"/>
      <c r="C42" s="301"/>
      <c r="D42" s="301"/>
      <c r="E42" s="301"/>
      <c r="F42" s="301"/>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6.5" customHeight="1" x14ac:dyDescent="0.25">
      <c r="A45" s="2"/>
      <c r="B45" s="2"/>
      <c r="C45" s="2"/>
      <c r="D45" s="160"/>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366" t="str">
        <f>'FY19 Allocation - Flat by sourc'!A46:B55</f>
        <v xml:space="preserve">lfs- I did not check the formulas on these calculations. All fiscal years need to be updated and formulas should be confirmed. </v>
      </c>
      <c r="B46" s="269"/>
      <c r="C46" s="269"/>
      <c r="D46" s="270" t="s">
        <v>146</v>
      </c>
      <c r="E46" s="271"/>
      <c r="F46" s="269"/>
      <c r="G46" s="269"/>
      <c r="H46" s="269"/>
      <c r="I46" s="269"/>
      <c r="J46" s="269"/>
      <c r="K46" s="269"/>
      <c r="L46" s="269"/>
      <c r="M46" s="269"/>
      <c r="N46" s="269"/>
      <c r="O46" s="2"/>
      <c r="P46" s="2"/>
      <c r="Q46" s="2"/>
      <c r="R46" s="2"/>
      <c r="S46" s="2"/>
      <c r="T46" s="2"/>
      <c r="U46" s="2"/>
      <c r="V46" s="2"/>
      <c r="W46" s="2"/>
      <c r="X46" s="2"/>
      <c r="Y46" s="2"/>
      <c r="Z46" s="2"/>
    </row>
    <row r="47" spans="1:26" ht="15.75" customHeight="1" x14ac:dyDescent="0.25">
      <c r="A47" s="364"/>
      <c r="B47" s="269"/>
      <c r="C47" s="269"/>
      <c r="D47" s="272" t="s">
        <v>137</v>
      </c>
      <c r="E47" s="273">
        <f>E26</f>
        <v>7819462</v>
      </c>
      <c r="F47" s="269"/>
      <c r="G47" s="269"/>
      <c r="H47" s="269"/>
      <c r="I47" s="269"/>
      <c r="J47" s="269"/>
      <c r="K47" s="269"/>
      <c r="L47" s="269"/>
      <c r="M47" s="269"/>
      <c r="N47" s="269"/>
      <c r="O47" s="2"/>
      <c r="P47" s="2"/>
      <c r="Q47" s="2"/>
      <c r="R47" s="2"/>
      <c r="S47" s="2"/>
      <c r="T47" s="2"/>
      <c r="U47" s="2"/>
      <c r="V47" s="2"/>
      <c r="W47" s="2"/>
      <c r="X47" s="2"/>
      <c r="Y47" s="2"/>
      <c r="Z47" s="2"/>
    </row>
    <row r="48" spans="1:26" ht="15.75" customHeight="1" x14ac:dyDescent="0.25">
      <c r="A48" s="364"/>
      <c r="B48" s="269"/>
      <c r="C48" s="269"/>
      <c r="D48" s="275" t="s">
        <v>138</v>
      </c>
      <c r="E48" s="276">
        <f>MROUND('FY18 Allocations'!E26,5000)</f>
        <v>7445000</v>
      </c>
      <c r="F48" s="277"/>
      <c r="G48" s="277"/>
      <c r="H48" s="269"/>
      <c r="I48" s="269"/>
      <c r="J48" s="269"/>
      <c r="K48" s="269"/>
      <c r="L48" s="269"/>
      <c r="M48" s="269"/>
      <c r="N48" s="269"/>
      <c r="O48" s="2"/>
      <c r="P48" s="2"/>
      <c r="Q48" s="2"/>
      <c r="R48" s="2"/>
      <c r="S48" s="2"/>
      <c r="T48" s="2"/>
      <c r="U48" s="2"/>
      <c r="V48" s="2"/>
      <c r="W48" s="2"/>
      <c r="X48" s="2"/>
      <c r="Y48" s="2"/>
      <c r="Z48" s="2"/>
    </row>
    <row r="49" spans="1:26" ht="15.75" customHeight="1" x14ac:dyDescent="0.25">
      <c r="A49" s="364"/>
      <c r="B49" s="269"/>
      <c r="C49" s="269"/>
      <c r="D49" s="272" t="s">
        <v>139</v>
      </c>
      <c r="E49" s="278">
        <f>E47-E48</f>
        <v>374462</v>
      </c>
      <c r="F49" s="279">
        <f>E49/E48</f>
        <v>5.0297112155809266E-2</v>
      </c>
      <c r="G49" s="277" t="s">
        <v>149</v>
      </c>
      <c r="H49" s="280"/>
      <c r="I49" s="281"/>
      <c r="J49" s="283"/>
      <c r="K49" s="269"/>
      <c r="L49" s="269"/>
      <c r="M49" s="269"/>
      <c r="N49" s="269"/>
      <c r="O49" s="2"/>
      <c r="P49" s="2"/>
      <c r="Q49" s="2"/>
      <c r="R49" s="2"/>
      <c r="S49" s="2"/>
      <c r="T49" s="2"/>
      <c r="U49" s="2"/>
      <c r="V49" s="2"/>
      <c r="W49" s="2"/>
      <c r="X49" s="2"/>
      <c r="Y49" s="2"/>
      <c r="Z49" s="2"/>
    </row>
    <row r="50" spans="1:26" ht="15.75" customHeight="1" x14ac:dyDescent="0.25">
      <c r="A50" s="364"/>
      <c r="B50" s="269"/>
      <c r="C50" s="269"/>
      <c r="D50" s="285"/>
      <c r="E50" s="288"/>
      <c r="F50" s="269"/>
      <c r="G50" s="269"/>
      <c r="H50" s="269"/>
      <c r="I50" s="269"/>
      <c r="J50" s="269"/>
      <c r="K50" s="269"/>
      <c r="L50" s="269"/>
      <c r="M50" s="269"/>
      <c r="N50" s="269"/>
      <c r="O50" s="2"/>
      <c r="P50" s="2"/>
      <c r="Q50" s="2"/>
      <c r="R50" s="2"/>
      <c r="S50" s="2"/>
      <c r="T50" s="2"/>
      <c r="U50" s="2"/>
      <c r="V50" s="2"/>
      <c r="W50" s="2"/>
      <c r="X50" s="2"/>
      <c r="Y50" s="2"/>
      <c r="Z50" s="2"/>
    </row>
    <row r="51" spans="1:26" ht="15.75" customHeight="1" x14ac:dyDescent="0.25">
      <c r="A51" s="364"/>
      <c r="B51" s="269"/>
      <c r="C51" s="269"/>
      <c r="D51" s="272" t="s">
        <v>140</v>
      </c>
      <c r="E51" s="273">
        <f>E33</f>
        <v>738308</v>
      </c>
      <c r="F51" s="269"/>
      <c r="G51" s="269"/>
      <c r="H51" s="269"/>
      <c r="I51" s="269"/>
      <c r="J51" s="269"/>
      <c r="K51" s="269"/>
      <c r="L51" s="269"/>
      <c r="M51" s="269"/>
      <c r="N51" s="269"/>
      <c r="O51" s="2"/>
      <c r="P51" s="2"/>
      <c r="Q51" s="2"/>
      <c r="R51" s="2"/>
      <c r="S51" s="2"/>
      <c r="T51" s="2"/>
      <c r="U51" s="2"/>
      <c r="V51" s="2"/>
      <c r="W51" s="2"/>
      <c r="X51" s="2"/>
      <c r="Y51" s="2"/>
      <c r="Z51" s="2"/>
    </row>
    <row r="52" spans="1:26" ht="15.75" customHeight="1" x14ac:dyDescent="0.25">
      <c r="A52" s="364"/>
      <c r="B52" s="269"/>
      <c r="C52" s="269"/>
      <c r="D52" s="275" t="s">
        <v>141</v>
      </c>
      <c r="E52" s="276">
        <f>MROUND('FY18 Allocations'!E33,5000)</f>
        <v>705000</v>
      </c>
      <c r="F52" s="269"/>
      <c r="G52" s="269"/>
      <c r="H52" s="269"/>
      <c r="I52" s="269"/>
      <c r="J52" s="269"/>
      <c r="K52" s="269"/>
      <c r="L52" s="269"/>
      <c r="M52" s="269"/>
      <c r="N52" s="269"/>
      <c r="O52" s="2"/>
      <c r="P52" s="2"/>
      <c r="Q52" s="2"/>
      <c r="R52" s="2"/>
      <c r="S52" s="2"/>
      <c r="T52" s="2"/>
      <c r="U52" s="2"/>
      <c r="V52" s="2"/>
      <c r="W52" s="2"/>
      <c r="X52" s="2"/>
      <c r="Y52" s="2"/>
      <c r="Z52" s="2"/>
    </row>
    <row r="53" spans="1:26" ht="15.75" customHeight="1" x14ac:dyDescent="0.25">
      <c r="A53" s="364"/>
      <c r="B53" s="269"/>
      <c r="C53" s="269"/>
      <c r="D53" s="272" t="s">
        <v>142</v>
      </c>
      <c r="E53" s="278">
        <f>E51-E52</f>
        <v>33308</v>
      </c>
      <c r="F53" s="279">
        <f>E53/E52</f>
        <v>4.7245390070921989E-2</v>
      </c>
      <c r="G53" s="277" t="s">
        <v>156</v>
      </c>
      <c r="H53" s="269"/>
      <c r="I53" s="269"/>
      <c r="J53" s="269"/>
      <c r="K53" s="269"/>
      <c r="L53" s="269"/>
      <c r="M53" s="269"/>
      <c r="N53" s="269"/>
      <c r="O53" s="2"/>
      <c r="P53" s="2"/>
      <c r="Q53" s="2"/>
      <c r="R53" s="2"/>
      <c r="S53" s="2"/>
      <c r="T53" s="2"/>
      <c r="U53" s="2"/>
      <c r="V53" s="2"/>
      <c r="W53" s="2"/>
      <c r="X53" s="2"/>
      <c r="Y53" s="2"/>
      <c r="Z53" s="2"/>
    </row>
    <row r="54" spans="1:26" ht="15.75" customHeight="1" x14ac:dyDescent="0.25">
      <c r="A54" s="364"/>
      <c r="B54" s="269"/>
      <c r="C54" s="269"/>
      <c r="D54" s="272"/>
      <c r="E54" s="278"/>
      <c r="F54" s="269"/>
      <c r="G54" s="269"/>
      <c r="H54" s="269"/>
      <c r="I54" s="269"/>
      <c r="J54" s="269"/>
      <c r="K54" s="269"/>
      <c r="L54" s="269"/>
      <c r="M54" s="269"/>
      <c r="N54" s="269"/>
      <c r="O54" s="2"/>
      <c r="P54" s="2"/>
      <c r="Q54" s="2"/>
      <c r="R54" s="2"/>
      <c r="S54" s="2"/>
      <c r="T54" s="2"/>
      <c r="U54" s="2"/>
      <c r="V54" s="2"/>
      <c r="W54" s="2"/>
      <c r="X54" s="2"/>
      <c r="Y54" s="2"/>
      <c r="Z54" s="2"/>
    </row>
    <row r="55" spans="1:26" ht="15.75" customHeight="1" x14ac:dyDescent="0.25">
      <c r="A55" s="364"/>
      <c r="B55" s="269"/>
      <c r="C55" s="269"/>
      <c r="D55" s="290" t="s">
        <v>143</v>
      </c>
      <c r="E55" s="292">
        <f>E49+E53</f>
        <v>407770</v>
      </c>
      <c r="F55" s="279">
        <f>E55/(E48+E52)</f>
        <v>5.0033128834355831E-2</v>
      </c>
      <c r="G55" s="277" t="s">
        <v>157</v>
      </c>
      <c r="H55" s="269"/>
      <c r="I55" s="269"/>
      <c r="J55" s="269"/>
      <c r="K55" s="269"/>
      <c r="L55" s="269"/>
      <c r="M55" s="269"/>
      <c r="N55" s="269"/>
      <c r="O55" s="2"/>
      <c r="P55" s="2"/>
      <c r="Q55" s="2"/>
      <c r="R55" s="2"/>
      <c r="S55" s="2"/>
      <c r="T55" s="2"/>
      <c r="U55" s="2"/>
      <c r="V55" s="2"/>
      <c r="W55" s="2"/>
      <c r="X55" s="2"/>
      <c r="Y55" s="2"/>
      <c r="Z55" s="2"/>
    </row>
    <row r="56" spans="1:26" ht="15.75" customHeight="1" x14ac:dyDescent="0.25">
      <c r="A56" s="364"/>
      <c r="B56" s="269"/>
      <c r="C56" s="269"/>
      <c r="D56" s="272"/>
      <c r="E56" s="288"/>
      <c r="F56" s="269"/>
      <c r="G56" s="269"/>
      <c r="H56" s="269"/>
      <c r="I56" s="269"/>
      <c r="J56" s="269"/>
      <c r="K56" s="269"/>
      <c r="L56" s="269"/>
      <c r="M56" s="269"/>
      <c r="N56" s="269"/>
      <c r="O56" s="2"/>
      <c r="P56" s="2"/>
      <c r="Q56" s="2"/>
      <c r="R56" s="2"/>
      <c r="S56" s="2"/>
      <c r="T56" s="2"/>
      <c r="U56" s="2"/>
      <c r="V56" s="2"/>
      <c r="W56" s="2"/>
      <c r="X56" s="2"/>
      <c r="Y56" s="2"/>
      <c r="Z56" s="2"/>
    </row>
    <row r="57" spans="1:26" ht="15.75" customHeight="1" x14ac:dyDescent="0.25">
      <c r="A57" s="364"/>
      <c r="B57" s="269"/>
      <c r="C57" s="269"/>
      <c r="D57" s="272" t="s">
        <v>144</v>
      </c>
      <c r="E57" s="273">
        <f>E26+E33</f>
        <v>8557770</v>
      </c>
      <c r="F57" s="277"/>
      <c r="G57" s="269"/>
      <c r="H57" s="293"/>
      <c r="I57" s="269"/>
      <c r="J57" s="269"/>
      <c r="K57" s="269"/>
      <c r="L57" s="269"/>
      <c r="M57" s="269"/>
      <c r="N57" s="269"/>
      <c r="O57" s="2"/>
      <c r="P57" s="2"/>
      <c r="Q57" s="2"/>
      <c r="R57" s="2"/>
      <c r="S57" s="2"/>
      <c r="T57" s="2"/>
      <c r="U57" s="2"/>
      <c r="V57" s="2"/>
      <c r="W57" s="2"/>
      <c r="X57" s="2"/>
      <c r="Y57" s="2"/>
      <c r="Z57" s="2"/>
    </row>
    <row r="58" spans="1:26" ht="15.75" customHeight="1" x14ac:dyDescent="0.25">
      <c r="A58" s="364"/>
      <c r="B58" s="269"/>
      <c r="C58" s="269"/>
      <c r="D58" s="294" t="s">
        <v>145</v>
      </c>
      <c r="E58" s="276">
        <f>MROUND('FY18 Allocations'!E40,5000)</f>
        <v>8150000</v>
      </c>
      <c r="F58" s="277"/>
      <c r="G58" s="269"/>
      <c r="H58" s="277"/>
      <c r="I58" s="269"/>
      <c r="J58" s="269"/>
      <c r="K58" s="269"/>
      <c r="L58" s="269"/>
      <c r="M58" s="269"/>
      <c r="N58" s="269"/>
      <c r="O58" s="2"/>
      <c r="P58" s="2"/>
      <c r="Q58" s="2"/>
      <c r="R58" s="2"/>
      <c r="S58" s="2"/>
      <c r="T58" s="2"/>
      <c r="U58" s="2"/>
      <c r="V58" s="2"/>
      <c r="W58" s="2"/>
      <c r="X58" s="2"/>
      <c r="Y58" s="2"/>
      <c r="Z58" s="2"/>
    </row>
    <row r="59" spans="1:26" ht="15.75" customHeight="1" x14ac:dyDescent="0.25">
      <c r="A59" s="364"/>
      <c r="B59" s="269"/>
      <c r="C59" s="269"/>
      <c r="D59" s="290" t="s">
        <v>147</v>
      </c>
      <c r="E59" s="292">
        <f>E57-E58</f>
        <v>407770</v>
      </c>
      <c r="F59" s="269"/>
      <c r="G59" s="269"/>
      <c r="H59" s="280"/>
      <c r="I59" s="269"/>
      <c r="J59" s="269"/>
      <c r="K59" s="269"/>
      <c r="L59" s="269"/>
      <c r="M59" s="269"/>
      <c r="N59" s="269"/>
      <c r="O59" s="2"/>
      <c r="P59" s="2"/>
      <c r="Q59" s="2"/>
      <c r="R59" s="2"/>
      <c r="S59" s="2"/>
      <c r="T59" s="2"/>
      <c r="U59" s="2"/>
      <c r="V59" s="2"/>
      <c r="W59" s="2"/>
      <c r="X59" s="2"/>
      <c r="Y59" s="2"/>
      <c r="Z59" s="2"/>
    </row>
    <row r="60" spans="1:26" ht="15.75" customHeight="1" x14ac:dyDescent="0.25">
      <c r="A60" s="364"/>
      <c r="B60" s="269"/>
      <c r="C60" s="269"/>
      <c r="D60" s="285"/>
      <c r="E60" s="288"/>
      <c r="F60" s="269"/>
      <c r="G60" s="269"/>
      <c r="H60" s="269"/>
      <c r="I60" s="269"/>
      <c r="J60" s="269"/>
      <c r="K60" s="269"/>
      <c r="L60" s="269"/>
      <c r="M60" s="269"/>
      <c r="N60" s="269"/>
      <c r="O60" s="2"/>
      <c r="P60" s="2"/>
      <c r="Q60" s="2"/>
      <c r="R60" s="2"/>
      <c r="S60" s="2"/>
      <c r="T60" s="2"/>
      <c r="U60" s="2"/>
      <c r="V60" s="2"/>
      <c r="W60" s="2"/>
      <c r="X60" s="2"/>
      <c r="Y60" s="2"/>
      <c r="Z60" s="2"/>
    </row>
    <row r="61" spans="1:26" ht="15.75" customHeight="1" x14ac:dyDescent="0.25">
      <c r="A61" s="364"/>
      <c r="B61" s="269"/>
      <c r="C61" s="269"/>
      <c r="D61" s="368"/>
      <c r="E61" s="358"/>
      <c r="F61" s="269"/>
      <c r="G61" s="269"/>
      <c r="H61" s="269"/>
      <c r="I61" s="269"/>
      <c r="J61" s="269"/>
      <c r="K61" s="269"/>
      <c r="L61" s="269"/>
      <c r="M61" s="269"/>
      <c r="N61" s="269"/>
      <c r="O61" s="2"/>
      <c r="P61" s="2"/>
      <c r="Q61" s="2"/>
      <c r="R61" s="2"/>
      <c r="S61" s="2"/>
      <c r="T61" s="2"/>
      <c r="U61" s="2"/>
      <c r="V61" s="2"/>
      <c r="W61" s="2"/>
      <c r="X61" s="2"/>
      <c r="Y61" s="2"/>
      <c r="Z61" s="2"/>
    </row>
    <row r="62" spans="1:26" ht="15.75" customHeight="1" x14ac:dyDescent="0.25">
      <c r="A62" s="365"/>
      <c r="B62" s="269"/>
      <c r="C62" s="269"/>
      <c r="D62" s="359"/>
      <c r="E62" s="360"/>
      <c r="F62" s="269"/>
      <c r="G62" s="269"/>
      <c r="H62" s="269"/>
      <c r="I62" s="269"/>
      <c r="J62" s="269"/>
      <c r="K62" s="269"/>
      <c r="L62" s="269"/>
      <c r="M62" s="269"/>
      <c r="N62" s="269"/>
      <c r="O62" s="2"/>
      <c r="P62" s="2"/>
      <c r="Q62" s="2"/>
      <c r="R62" s="2"/>
      <c r="S62" s="2"/>
      <c r="T62" s="2"/>
      <c r="U62" s="2"/>
      <c r="V62" s="2"/>
      <c r="W62" s="2"/>
      <c r="X62" s="2"/>
      <c r="Y62" s="2"/>
      <c r="Z62" s="2"/>
    </row>
    <row r="63" spans="1:26" ht="16.5" customHeight="1" x14ac:dyDescent="0.25">
      <c r="A63" s="269"/>
      <c r="B63" s="269"/>
      <c r="C63" s="269"/>
      <c r="D63" s="295"/>
      <c r="E63" s="296"/>
      <c r="F63" s="269"/>
      <c r="G63" s="269"/>
      <c r="H63" s="269"/>
      <c r="I63" s="269"/>
      <c r="J63" s="269"/>
      <c r="K63" s="269"/>
      <c r="L63" s="269"/>
      <c r="M63" s="269"/>
      <c r="N63" s="269"/>
      <c r="O63" s="2"/>
      <c r="P63" s="2"/>
      <c r="Q63" s="2"/>
      <c r="R63" s="2"/>
      <c r="S63" s="2"/>
      <c r="T63" s="2"/>
      <c r="U63" s="2"/>
      <c r="V63" s="2"/>
      <c r="W63" s="2"/>
      <c r="X63" s="2"/>
      <c r="Y63" s="2"/>
      <c r="Z63" s="2"/>
    </row>
    <row r="64" spans="1:26" ht="15.75" customHeight="1" x14ac:dyDescent="0.25">
      <c r="A64" s="269"/>
      <c r="B64" s="269"/>
      <c r="C64" s="269"/>
      <c r="D64" s="297"/>
      <c r="E64" s="271"/>
      <c r="F64" s="269"/>
      <c r="G64" s="269"/>
      <c r="H64" s="269"/>
      <c r="I64" s="269"/>
      <c r="J64" s="269"/>
      <c r="K64" s="269"/>
      <c r="L64" s="269"/>
      <c r="M64" s="269"/>
      <c r="N64" s="269"/>
      <c r="O64" s="2"/>
      <c r="P64" s="2"/>
      <c r="Q64" s="2"/>
      <c r="R64" s="2"/>
      <c r="S64" s="2"/>
      <c r="T64" s="2"/>
      <c r="U64" s="2"/>
      <c r="V64" s="2"/>
      <c r="W64" s="2"/>
      <c r="X64" s="2"/>
      <c r="Y64" s="2"/>
      <c r="Z64" s="2"/>
    </row>
    <row r="65" spans="1:26" ht="15.75" customHeight="1" x14ac:dyDescent="0.25">
      <c r="A65" s="269"/>
      <c r="B65" s="269"/>
      <c r="C65" s="269"/>
      <c r="D65" s="298" t="s">
        <v>150</v>
      </c>
      <c r="E65" s="288"/>
      <c r="F65" s="269"/>
      <c r="G65" s="269"/>
      <c r="H65" s="269"/>
      <c r="I65" s="269"/>
      <c r="J65" s="269"/>
      <c r="K65" s="269"/>
      <c r="L65" s="269"/>
      <c r="M65" s="269"/>
      <c r="N65" s="269"/>
      <c r="O65" s="2"/>
      <c r="P65" s="2"/>
      <c r="Q65" s="2"/>
      <c r="R65" s="2"/>
      <c r="S65" s="2"/>
      <c r="T65" s="2"/>
      <c r="U65" s="2"/>
      <c r="V65" s="2"/>
      <c r="W65" s="2"/>
      <c r="X65" s="2"/>
      <c r="Y65" s="2"/>
      <c r="Z65" s="2"/>
    </row>
    <row r="66" spans="1:26" ht="15.75" customHeight="1" x14ac:dyDescent="0.25">
      <c r="A66" s="269"/>
      <c r="B66" s="269"/>
      <c r="C66" s="269"/>
      <c r="D66" s="285" t="s">
        <v>151</v>
      </c>
      <c r="E66" s="273">
        <f>E5+E31</f>
        <v>2582770</v>
      </c>
      <c r="F66" s="269"/>
      <c r="G66" s="269"/>
      <c r="H66" s="269"/>
      <c r="I66" s="269"/>
      <c r="J66" s="269"/>
      <c r="K66" s="269"/>
      <c r="L66" s="269"/>
      <c r="M66" s="269"/>
      <c r="N66" s="269"/>
      <c r="O66" s="2"/>
      <c r="P66" s="2"/>
      <c r="Q66" s="2"/>
      <c r="R66" s="2"/>
      <c r="S66" s="2"/>
      <c r="T66" s="2"/>
      <c r="U66" s="2"/>
      <c r="V66" s="2"/>
      <c r="W66" s="2"/>
      <c r="X66" s="2"/>
      <c r="Y66" s="2"/>
      <c r="Z66" s="2"/>
    </row>
    <row r="67" spans="1:26" ht="15.75" customHeight="1" x14ac:dyDescent="0.25">
      <c r="A67" s="269"/>
      <c r="B67" s="269"/>
      <c r="C67" s="269"/>
      <c r="D67" s="285" t="s">
        <v>158</v>
      </c>
      <c r="E67" s="276">
        <f>'FY19 Allocation - increase'!Q5</f>
        <v>2585000</v>
      </c>
      <c r="F67" s="269"/>
      <c r="G67" s="269"/>
      <c r="H67" s="269"/>
      <c r="I67" s="269"/>
      <c r="J67" s="269"/>
      <c r="K67" s="269"/>
      <c r="L67" s="269"/>
      <c r="M67" s="269"/>
      <c r="N67" s="269"/>
      <c r="O67" s="2"/>
      <c r="P67" s="2"/>
      <c r="Q67" s="2"/>
      <c r="R67" s="2"/>
      <c r="S67" s="2"/>
      <c r="T67" s="2"/>
      <c r="U67" s="2"/>
      <c r="V67" s="2"/>
      <c r="W67" s="2"/>
      <c r="X67" s="2"/>
      <c r="Y67" s="2"/>
      <c r="Z67" s="2"/>
    </row>
    <row r="68" spans="1:26" ht="15.75" customHeight="1" x14ac:dyDescent="0.25">
      <c r="A68" s="269"/>
      <c r="B68" s="269"/>
      <c r="C68" s="269"/>
      <c r="D68" s="285" t="s">
        <v>153</v>
      </c>
      <c r="E68" s="273">
        <f>E66-E67</f>
        <v>-2230</v>
      </c>
      <c r="F68" s="269"/>
      <c r="G68" s="269"/>
      <c r="H68" s="269"/>
      <c r="I68" s="269"/>
      <c r="J68" s="269"/>
      <c r="K68" s="269"/>
      <c r="L68" s="269"/>
      <c r="M68" s="269"/>
      <c r="N68" s="269"/>
      <c r="O68" s="2"/>
      <c r="P68" s="2"/>
      <c r="Q68" s="2"/>
      <c r="R68" s="2"/>
      <c r="S68" s="2"/>
      <c r="T68" s="2"/>
      <c r="U68" s="2"/>
      <c r="V68" s="2"/>
      <c r="W68" s="2"/>
      <c r="X68" s="2"/>
      <c r="Y68" s="2"/>
      <c r="Z68" s="2"/>
    </row>
    <row r="69" spans="1:26" ht="15.75" customHeight="1" x14ac:dyDescent="0.25">
      <c r="A69" s="269"/>
      <c r="B69" s="269"/>
      <c r="C69" s="269"/>
      <c r="D69" s="285"/>
      <c r="E69" s="273"/>
      <c r="F69" s="269"/>
      <c r="G69" s="269"/>
      <c r="H69" s="269"/>
      <c r="I69" s="269"/>
      <c r="J69" s="269"/>
      <c r="K69" s="269"/>
      <c r="L69" s="269"/>
      <c r="M69" s="269"/>
      <c r="N69" s="269"/>
      <c r="O69" s="2"/>
      <c r="P69" s="2"/>
      <c r="Q69" s="2"/>
      <c r="R69" s="2"/>
      <c r="S69" s="2"/>
      <c r="T69" s="2"/>
      <c r="U69" s="2"/>
      <c r="V69" s="2"/>
      <c r="W69" s="2"/>
      <c r="X69" s="2"/>
      <c r="Y69" s="2"/>
      <c r="Z69" s="2"/>
    </row>
    <row r="70" spans="1:26" ht="15.75" customHeight="1" x14ac:dyDescent="0.25">
      <c r="A70" s="269"/>
      <c r="B70" s="269"/>
      <c r="C70" s="269"/>
      <c r="D70" s="285" t="s">
        <v>154</v>
      </c>
      <c r="E70" s="273">
        <f>E8+E32</f>
        <v>195000</v>
      </c>
      <c r="F70" s="269"/>
      <c r="G70" s="269"/>
      <c r="H70" s="269"/>
      <c r="I70" s="269"/>
      <c r="J70" s="269"/>
      <c r="K70" s="269"/>
      <c r="L70" s="269"/>
      <c r="M70" s="269"/>
      <c r="N70" s="269"/>
      <c r="O70" s="2"/>
      <c r="P70" s="2"/>
      <c r="Q70" s="2"/>
      <c r="R70" s="2"/>
      <c r="S70" s="2"/>
      <c r="T70" s="2"/>
      <c r="U70" s="2"/>
      <c r="V70" s="2"/>
      <c r="W70" s="2"/>
      <c r="X70" s="2"/>
      <c r="Y70" s="2"/>
      <c r="Z70" s="2"/>
    </row>
    <row r="71" spans="1:26" ht="15.75" customHeight="1" x14ac:dyDescent="0.25">
      <c r="A71" s="269"/>
      <c r="B71" s="269"/>
      <c r="C71" s="269"/>
      <c r="D71" s="285" t="s">
        <v>159</v>
      </c>
      <c r="E71" s="276">
        <f>'FY19 Allocation - increase'!Q8</f>
        <v>0</v>
      </c>
      <c r="F71" s="269"/>
      <c r="G71" s="269"/>
      <c r="H71" s="269"/>
      <c r="I71" s="269"/>
      <c r="J71" s="269"/>
      <c r="K71" s="269"/>
      <c r="L71" s="269"/>
      <c r="M71" s="269"/>
      <c r="N71" s="269"/>
      <c r="O71" s="2"/>
      <c r="P71" s="2"/>
      <c r="Q71" s="2"/>
      <c r="R71" s="2"/>
      <c r="S71" s="2"/>
      <c r="T71" s="2"/>
      <c r="U71" s="2"/>
      <c r="V71" s="2"/>
      <c r="W71" s="2"/>
      <c r="X71" s="2"/>
      <c r="Y71" s="2"/>
      <c r="Z71" s="2"/>
    </row>
    <row r="72" spans="1:26" ht="16.5" customHeight="1" x14ac:dyDescent="0.25">
      <c r="A72" s="269"/>
      <c r="B72" s="269"/>
      <c r="C72" s="269"/>
      <c r="D72" s="299" t="s">
        <v>153</v>
      </c>
      <c r="E72" s="300">
        <f>E70-E71</f>
        <v>195000</v>
      </c>
      <c r="F72" s="269"/>
      <c r="G72" s="269"/>
      <c r="H72" s="269"/>
      <c r="I72" s="269"/>
      <c r="J72" s="269"/>
      <c r="K72" s="269"/>
      <c r="L72" s="269"/>
      <c r="M72" s="269"/>
      <c r="N72" s="269"/>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FY18 Allocations</vt:lpstr>
      <vt:lpstr>FY18 Average Cost per Client</vt:lpstr>
      <vt:lpstr>Distribution of Cases by Svc</vt:lpstr>
      <vt:lpstr>Base Allocation ROUNDED</vt:lpstr>
      <vt:lpstr>Base Allocation Coin Calculatio</vt:lpstr>
      <vt:lpstr>FY19 Allocation - Flat Combined</vt:lpstr>
      <vt:lpstr>FY19 Allocation - Flat by sourc</vt:lpstr>
      <vt:lpstr>FY19 Allocation - increase</vt:lpstr>
      <vt:lpstr>FY19 Allocation - inc by source</vt:lpstr>
      <vt:lpstr>WAIVER Allocation - Flat Comb</vt:lpstr>
      <vt:lpstr>WAIVER Alloc - Flat by source</vt:lpstr>
      <vt:lpstr>WAIVER Allocation - increase</vt:lpstr>
      <vt:lpstr>WAIVER Alloc - inc by source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Undrea Goodwin</dc:creator>
  <cp:lastModifiedBy>Rachel Turk</cp:lastModifiedBy>
  <dcterms:created xsi:type="dcterms:W3CDTF">2018-08-09T19:50:04Z</dcterms:created>
  <dcterms:modified xsi:type="dcterms:W3CDTF">2019-07-10T15:51:04Z</dcterms:modified>
</cp:coreProperties>
</file>